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32" activeTab="0"/>
  </bookViews>
  <sheets>
    <sheet name="BILAN" sheetId="1" r:id="rId1"/>
    <sheet name="CA " sheetId="2" r:id="rId2"/>
    <sheet name="MATERIEL" sheetId="3" r:id="rId3"/>
    <sheet name="autres charges externes " sheetId="4" r:id="rId4"/>
    <sheet name="B F R " sheetId="5" r:id="rId5"/>
    <sheet name="PLAN DE FIN " sheetId="6" r:id="rId6"/>
    <sheet name="Amort MATERIEL" sheetId="7" r:id="rId7"/>
    <sheet name="AMORT DETTE " sheetId="8" r:id="rId8"/>
    <sheet name="ANALYSE FINANCIERE" sheetId="9" r:id="rId9"/>
    <sheet name="CPC " sheetId="10" r:id="rId10"/>
  </sheets>
  <externalReferences>
    <externalReference r:id="rId13"/>
  </externalReferences>
  <definedNames>
    <definedName name="_xlnm.Print_Area" localSheetId="9">'CPC '!$A$1:$G$44</definedName>
  </definedNames>
  <calcPr fullCalcOnLoad="1"/>
</workbook>
</file>

<file path=xl/sharedStrings.xml><?xml version="1.0" encoding="utf-8"?>
<sst xmlns="http://schemas.openxmlformats.org/spreadsheetml/2006/main" count="234" uniqueCount="173">
  <si>
    <t>L’activité</t>
  </si>
  <si>
    <t>nombre de clients par an</t>
  </si>
  <si>
    <t>le chiffre d’affaire annuel par activite</t>
  </si>
  <si>
    <t>PU              DH</t>
  </si>
  <si>
    <t>A1</t>
  </si>
  <si>
    <t>A2</t>
  </si>
  <si>
    <t>A3</t>
  </si>
  <si>
    <t>A4</t>
  </si>
  <si>
    <t>A5</t>
  </si>
  <si>
    <t>I.  PRODUITS D'EXPLOITATION T1</t>
  </si>
  <si>
    <t>CHIFFRE D'AFFAIRES(en dhs)</t>
  </si>
  <si>
    <t>VARIATION DES STOCKS</t>
  </si>
  <si>
    <t>II.  CHARGES D'EXPLOITATION  T2</t>
  </si>
  <si>
    <t>ACHATS MATIERES PREMIERES</t>
  </si>
  <si>
    <t>ACHATS  FOURNITURES</t>
  </si>
  <si>
    <t>AUTRES CHARGES EXTERNES</t>
  </si>
  <si>
    <t xml:space="preserve">  EAU ET ELECTRICITE</t>
  </si>
  <si>
    <t xml:space="preserve">  LOYER</t>
  </si>
  <si>
    <t xml:space="preserve">  TELEPHONE</t>
  </si>
  <si>
    <t>FRAIS DEPLACEMENT</t>
  </si>
  <si>
    <t>IMPOTS ET TAXES</t>
  </si>
  <si>
    <t xml:space="preserve">    TAXE D'ÉDILITÉ </t>
  </si>
  <si>
    <t xml:space="preserve">CHARGES DU PERSONNEL  </t>
  </si>
  <si>
    <t xml:space="preserve">    REMUNERATION DU PERSONNEL</t>
  </si>
  <si>
    <t xml:space="preserve">    CHARGES SOCIALES  </t>
  </si>
  <si>
    <t>DOTATIONS D'EXPLOITATION</t>
  </si>
  <si>
    <t>III.  RESULTAT D'EXPLOITATION   TI -T2</t>
  </si>
  <si>
    <t>IV. PRODUITS FINANCIERS</t>
  </si>
  <si>
    <t>V. CHARGES FINANCIERS</t>
  </si>
  <si>
    <t>CHARGES D'INTERETS</t>
  </si>
  <si>
    <t>VI. RESULTAT FINANCIER</t>
  </si>
  <si>
    <t>VII. RESULTAT COURANT</t>
  </si>
  <si>
    <t>VIII. PRODUITS NON COURANT</t>
  </si>
  <si>
    <t>IX. CHARGES NON COURANT</t>
  </si>
  <si>
    <t>X. RESULTAT NON COURANT</t>
  </si>
  <si>
    <t>XI. RESULTAT AVANT IMPOT</t>
  </si>
  <si>
    <t xml:space="preserve"> XII.   IMPÔT SUR LES RESULTATS</t>
  </si>
  <si>
    <t xml:space="preserve">XIII. RESULTAT NET </t>
  </si>
  <si>
    <t>XIV.  TOTAL DES PRODUITS</t>
  </si>
  <si>
    <t>XV.   TOTAL DES CHARGES</t>
  </si>
  <si>
    <t>XVI. RESULTAT NET</t>
  </si>
  <si>
    <t>Chiffre d'affaires global</t>
  </si>
  <si>
    <t xml:space="preserve">Taux d'evolution </t>
  </si>
  <si>
    <t>2 - Outils de production</t>
  </si>
  <si>
    <t xml:space="preserve">PRODUITS </t>
  </si>
  <si>
    <t>QTE</t>
  </si>
  <si>
    <t>PRIX UNIT TTC</t>
  </si>
  <si>
    <t xml:space="preserve"> Matériel d'équipement</t>
  </si>
  <si>
    <t>TOTAL</t>
  </si>
  <si>
    <t xml:space="preserve"> 4 - Matières premières, </t>
  </si>
  <si>
    <t xml:space="preserve">TOTAL TTC </t>
  </si>
  <si>
    <r>
      <t>TOTAL</t>
    </r>
    <r>
      <rPr>
        <sz val="10"/>
        <rFont val="Arial"/>
        <family val="0"/>
      </rPr>
      <t xml:space="preserve"> </t>
    </r>
  </si>
  <si>
    <t xml:space="preserve">           5 - Autres charges externes</t>
  </si>
  <si>
    <t>Eléménts</t>
  </si>
  <si>
    <t>nombre de personne</t>
  </si>
  <si>
    <t>Gérant</t>
  </si>
  <si>
    <t>Total</t>
  </si>
  <si>
    <t>Besoins</t>
  </si>
  <si>
    <t>Ressources</t>
  </si>
  <si>
    <t>Détail du programme d'investissement</t>
  </si>
  <si>
    <t>Plan de financement</t>
  </si>
  <si>
    <t xml:space="preserve"> </t>
  </si>
  <si>
    <t>Frais d'établissement</t>
  </si>
  <si>
    <t>Fonds propres</t>
  </si>
  <si>
    <t>Apport personnel</t>
  </si>
  <si>
    <t>IMMOBILISATIONS INCORPORELLES</t>
  </si>
  <si>
    <t>Investissement physique</t>
  </si>
  <si>
    <t>Terrain</t>
  </si>
  <si>
    <t>Aménagement et installation éléctrique</t>
  </si>
  <si>
    <t>Emprunts</t>
  </si>
  <si>
    <t>Constructions</t>
  </si>
  <si>
    <t>Part Banque</t>
  </si>
  <si>
    <t>Matériel et outillage</t>
  </si>
  <si>
    <t>Part Etat</t>
  </si>
  <si>
    <t>Matériel roulant</t>
  </si>
  <si>
    <t>Mobilier de bureau</t>
  </si>
  <si>
    <t>Frais Annexes (caution loyer)</t>
  </si>
  <si>
    <t>Divers et imprévus</t>
  </si>
  <si>
    <t>Trésorerie</t>
  </si>
  <si>
    <t>7-Tableau d'amortissement physique</t>
  </si>
  <si>
    <t>Désignation</t>
  </si>
  <si>
    <t>Taux</t>
  </si>
  <si>
    <t xml:space="preserve">Montant </t>
  </si>
  <si>
    <t>Amortissement</t>
  </si>
  <si>
    <t>en dhs</t>
  </si>
  <si>
    <t>Construction</t>
  </si>
  <si>
    <t>Aménagements et Installations</t>
  </si>
  <si>
    <t>Matériel et outillages</t>
  </si>
  <si>
    <t>Mobilier et matériel de bureau</t>
  </si>
  <si>
    <t>Total amortissement</t>
  </si>
  <si>
    <t xml:space="preserve">* Stock de matières premières </t>
  </si>
  <si>
    <t>* Transport et Déplacement</t>
  </si>
  <si>
    <t xml:space="preserve">* Salaire </t>
  </si>
  <si>
    <t>* Consommation énergétique</t>
  </si>
  <si>
    <t>* Divers et imprévu</t>
  </si>
  <si>
    <t>* Frais de communication</t>
  </si>
  <si>
    <t>TABLEAU : AMORTISSEMENT DE L'EMPRUNT</t>
  </si>
  <si>
    <t>PART :</t>
  </si>
  <si>
    <t>BANQUE</t>
  </si>
  <si>
    <t>ETAT</t>
  </si>
  <si>
    <t>CAPITAL</t>
  </si>
  <si>
    <t>TAUX</t>
  </si>
  <si>
    <t xml:space="preserve">  </t>
  </si>
  <si>
    <t>PERIODE</t>
  </si>
  <si>
    <t>Mois de délai de différé</t>
  </si>
  <si>
    <t>Mois de délai de grâce</t>
  </si>
  <si>
    <t>Versement</t>
  </si>
  <si>
    <t>annuel</t>
  </si>
  <si>
    <t>mensuel</t>
  </si>
  <si>
    <t>TABLEAU DES AMORTISSEMENTS-DECOMPOSITION DES ANNUITES</t>
  </si>
  <si>
    <t>CAPITAL 
DEBUT PERIODE</t>
  </si>
  <si>
    <t>INTERET</t>
  </si>
  <si>
    <t>AMORT.</t>
  </si>
  <si>
    <t>ANNUITES</t>
  </si>
  <si>
    <t>RESULTAT NET</t>
  </si>
  <si>
    <t>Dotations d'exploitation</t>
  </si>
  <si>
    <t>BENEFICES DISTRIBUES</t>
  </si>
  <si>
    <t>AUTOFINANCEMENT</t>
  </si>
  <si>
    <t>CAPACITE D'AUTOFINANCEMENT (CASH-FLOW)</t>
  </si>
  <si>
    <t>Analyse financière</t>
  </si>
  <si>
    <t>Investissement initial</t>
  </si>
  <si>
    <t>Chiffre d'Affaires</t>
  </si>
  <si>
    <t>Cash-Flow</t>
  </si>
  <si>
    <t>Cash-Flow/Chiffre d'Affaires</t>
  </si>
  <si>
    <t>Taux d'actualisation</t>
  </si>
  <si>
    <t>VAN</t>
  </si>
  <si>
    <t>TRI</t>
  </si>
  <si>
    <t>Cash-Flow actualisé</t>
  </si>
  <si>
    <t>Cash-Flow actualisé cumulé</t>
  </si>
  <si>
    <t xml:space="preserve">CACH-FLOW </t>
  </si>
  <si>
    <t>PLAN DE FINANCEMENT</t>
  </si>
  <si>
    <t>Montant</t>
  </si>
  <si>
    <t>( dhs)</t>
  </si>
  <si>
    <t>% par raport</t>
  </si>
  <si>
    <t>au PF</t>
  </si>
  <si>
    <t>C/MOUKAWALATI/BANQUE</t>
  </si>
  <si>
    <t>PART/ETAT</t>
  </si>
  <si>
    <t xml:space="preserve"> Tableau des besoins et des ressources</t>
  </si>
  <si>
    <t>TELEPHONE</t>
  </si>
  <si>
    <t>LOYER</t>
  </si>
  <si>
    <t>EAU ET ELECTRICITE</t>
  </si>
  <si>
    <t xml:space="preserve">MOBILIE DE BUREAU </t>
  </si>
  <si>
    <t>Nbre clients potentiels  par mois</t>
  </si>
  <si>
    <t>pake de crouvison</t>
  </si>
  <si>
    <t>pake crovison avec presse</t>
  </si>
  <si>
    <t>* Loyer (x3 mois)</t>
  </si>
  <si>
    <t>Besoin en Fonds de Roulement (BFR/3 Mois)</t>
  </si>
  <si>
    <t>Co Gérant</t>
  </si>
  <si>
    <t>Technicien</t>
  </si>
  <si>
    <t>ouvrier</t>
  </si>
  <si>
    <t>Parallélisme</t>
  </si>
  <si>
    <t>Equilibrage</t>
  </si>
  <si>
    <t>Carrossage</t>
  </si>
  <si>
    <t>Tirage</t>
  </si>
  <si>
    <t>Reglage des fares</t>
  </si>
  <si>
    <t>Valve</t>
  </si>
  <si>
    <t>Creuvaison</t>
  </si>
  <si>
    <t>Vidange</t>
  </si>
  <si>
    <t>Lavage</t>
  </si>
  <si>
    <t>La chasse</t>
  </si>
  <si>
    <t>F P 62/09</t>
  </si>
  <si>
    <t>F P 61/09</t>
  </si>
  <si>
    <t>F P 947866</t>
  </si>
  <si>
    <t>TOTAL  HT</t>
  </si>
  <si>
    <t>PUBLICITE</t>
  </si>
  <si>
    <t>* Publicité</t>
  </si>
  <si>
    <t>pneus</t>
  </si>
  <si>
    <t>Dressage gente</t>
  </si>
  <si>
    <t>Creuvaison avec chaud</t>
  </si>
  <si>
    <t>MATIERE PREMIERE</t>
  </si>
  <si>
    <t>BILAN D OUVERTURE</t>
  </si>
  <si>
    <t>PREVISION DU CHIFFRE D AFAIRE</t>
  </si>
  <si>
    <t>ASSURANCE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</si>
</sst>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_-* #,##0\ _€_-;\-* #,##0\ _€_-;_-* &quot;-&quot;??\ _€_-;_-@_-"/>
    <numFmt numFmtId="183" formatCode="#,##0&quot; DH&quot;_);[Red]\(#,##0&quot; DH&quot;\)"/>
    <numFmt numFmtId="184" formatCode="General_)"/>
    <numFmt numFmtId="185" formatCode="#,##0&quot; F&quot;_);\(#,##0&quot; F&quot;\)"/>
    <numFmt numFmtId="186" formatCode="#,##0.00&quot; F&quot;_);\(#,##0.00&quot; F&quot;\)"/>
    <numFmt numFmtId="187" formatCode="#,##0_ ;\-#,##0\ 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&quot;د.م.&quot;\ #,##0_-;&quot;د.م.&quot;\ #,##0\-"/>
    <numFmt numFmtId="197" formatCode="&quot;د.م.&quot;\ #,##0_-;[Red]&quot;د.م.&quot;\ #,##0\-"/>
    <numFmt numFmtId="198" formatCode="&quot;د.م.&quot;\ #,##0.00_-;&quot;د.م.&quot;\ #,##0.00\-"/>
    <numFmt numFmtId="199" formatCode="&quot;د.م.&quot;\ #,##0.00_-;[Red]&quot;د.م.&quot;\ #,##0.00\-"/>
    <numFmt numFmtId="200" formatCode="_-&quot;د.م.&quot;\ * #,##0_-;_-&quot;د.م.&quot;\ * #,##0\-;_-&quot;د.م.&quot;\ * &quot;-&quot;_-;_-@_-"/>
    <numFmt numFmtId="201" formatCode="_-* #,##0_-;_-* #,##0\-;_-* &quot;-&quot;_-;_-@_-"/>
    <numFmt numFmtId="202" formatCode="_-&quot;د.م.&quot;\ * #,##0.00_-;_-&quot;د.م.&quot;\ * #,##0.00\-;_-&quot;د.م.&quot;\ * &quot;-&quot;??_-;_-@_-"/>
    <numFmt numFmtId="203" formatCode="_-* #,##0.00_-;_-* #,##0.00\-;_-* &quot;-&quot;??_-;_-@_-"/>
    <numFmt numFmtId="204" formatCode="d/mm/yy"/>
    <numFmt numFmtId="205" formatCode="d/mm/yy\ h:mm"/>
    <numFmt numFmtId="206" formatCode="#,##0&quot; DH&quot;;&quot;-&quot;#,##0&quot; DH&quot;"/>
    <numFmt numFmtId="207" formatCode="#,##0&quot; DH&quot;;[Red]&quot;-&quot;#,##0&quot; DH&quot;"/>
    <numFmt numFmtId="208" formatCode="#,##0.00&quot; DH&quot;;&quot;-&quot;#,##0.00&quot; DH&quot;"/>
    <numFmt numFmtId="209" formatCode="#,##0&quot; DH&quot;;\-#,##0&quot; DH&quot;"/>
    <numFmt numFmtId="210" formatCode="#,##0.00&quot; DH&quot;_);[Red]\(#,##0.00&quot; DH&quot;\)"/>
    <numFmt numFmtId="211" formatCode="0.0%"/>
    <numFmt numFmtId="212" formatCode="#,##0.00\ [$MAD]"/>
    <numFmt numFmtId="213" formatCode="#,##0.00\ _€"/>
    <numFmt numFmtId="214" formatCode="0.0"/>
    <numFmt numFmtId="215" formatCode="0.00;[Red]0.00"/>
    <numFmt numFmtId="216" formatCode="#,##0.00;[Red]#,##0.00"/>
    <numFmt numFmtId="217" formatCode="#,##0.0"/>
    <numFmt numFmtId="218" formatCode="0.000"/>
    <numFmt numFmtId="219" formatCode="0.0000"/>
    <numFmt numFmtId="220" formatCode="[$€-2]\ #,##0.00_);[Red]\([$€-2]\ #,##0.00\)"/>
    <numFmt numFmtId="221" formatCode="#,##0.00_ ;[Red]\-#,##0.00\ "/>
    <numFmt numFmtId="222" formatCode="#\ ??/16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1"/>
      <name val="Garamond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i/>
      <sz val="12"/>
      <name val="MS Sans Serif"/>
      <family val="2"/>
    </font>
    <font>
      <b/>
      <sz val="20"/>
      <name val="MS Sans Serif"/>
      <family val="2"/>
    </font>
    <font>
      <b/>
      <sz val="12"/>
      <name val="MS Sans Serif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8"/>
      <name val="MS Sans Serif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sz val="10"/>
      <color indexed="12"/>
      <name val="Courier"/>
      <family val="3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Times"/>
      <family val="1"/>
    </font>
    <font>
      <sz val="10"/>
      <name val="Times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i/>
      <u val="single"/>
      <sz val="14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Garamond"/>
      <family val="1"/>
    </font>
    <font>
      <sz val="10"/>
      <color indexed="10"/>
      <name val="Arial"/>
      <family val="2"/>
    </font>
    <font>
      <b/>
      <u val="single"/>
      <sz val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lightGray">
        <fgColor indexed="11"/>
      </patternFill>
    </fill>
    <fill>
      <patternFill patternType="gray0625">
        <fgColor indexed="8"/>
        <bgColor indexed="22"/>
      </patternFill>
    </fill>
    <fill>
      <patternFill patternType="mediumGray">
        <fgColor indexed="9"/>
      </patternFill>
    </fill>
    <fill>
      <patternFill patternType="mediumGray">
        <fgColor indexed="9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15"/>
      </patternFill>
    </fill>
    <fill>
      <patternFill patternType="solid">
        <fgColor indexed="40"/>
        <bgColor indexed="64"/>
      </patternFill>
    </fill>
    <fill>
      <patternFill patternType="gray125">
        <fgColor indexed="22"/>
        <bgColor theme="0" tint="-0.24997000396251678"/>
      </patternFill>
    </fill>
    <fill>
      <patternFill patternType="lightGray">
        <fgColor indexed="9"/>
      </patternFill>
    </fill>
    <fill>
      <patternFill patternType="gray0625">
        <fgColor indexed="8"/>
      </patternFill>
    </fill>
    <fill>
      <patternFill patternType="mediumGray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3" borderId="1" applyNumberFormat="0" applyAlignment="0" applyProtection="0"/>
    <xf numFmtId="0" fontId="28" fillId="0" borderId="2" applyNumberFormat="0" applyFill="0" applyAlignment="0" applyProtection="0"/>
    <xf numFmtId="0" fontId="16" fillId="4" borderId="3" applyNumberFormat="0" applyFont="0" applyAlignment="0" applyProtection="0"/>
    <xf numFmtId="0" fontId="30" fillId="3" borderId="1" applyNumberFormat="0" applyAlignment="0" applyProtection="0"/>
    <xf numFmtId="0" fontId="31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13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16" borderId="9" applyNumberFormat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17" borderId="11" xfId="0" applyFont="1" applyFill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2" fillId="13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1" fillId="13" borderId="12" xfId="0" applyFont="1" applyFill="1" applyBorder="1" applyAlignment="1">
      <alignment horizontal="center"/>
    </xf>
    <xf numFmtId="0" fontId="12" fillId="13" borderId="0" xfId="0" applyFont="1" applyFill="1" applyBorder="1" applyAlignment="1">
      <alignment/>
    </xf>
    <xf numFmtId="0" fontId="10" fillId="13" borderId="0" xfId="0" applyFont="1" applyFill="1" applyAlignment="1">
      <alignment/>
    </xf>
    <xf numFmtId="0" fontId="13" fillId="13" borderId="0" xfId="0" applyFont="1" applyFill="1" applyAlignment="1">
      <alignment/>
    </xf>
    <xf numFmtId="0" fontId="14" fillId="13" borderId="0" xfId="0" applyFont="1" applyFill="1" applyAlignment="1">
      <alignment/>
    </xf>
    <xf numFmtId="0" fontId="11" fillId="13" borderId="0" xfId="0" applyFont="1" applyFill="1" applyAlignment="1">
      <alignment/>
    </xf>
    <xf numFmtId="0" fontId="0" fillId="13" borderId="0" xfId="0" applyFill="1" applyAlignment="1">
      <alignment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0" xfId="0" applyFont="1" applyAlignment="1">
      <alignment/>
    </xf>
    <xf numFmtId="0" fontId="16" fillId="13" borderId="0" xfId="0" applyFont="1" applyFill="1" applyBorder="1" applyAlignment="1">
      <alignment/>
    </xf>
    <xf numFmtId="0" fontId="16" fillId="13" borderId="14" xfId="0" applyFont="1" applyFill="1" applyBorder="1" applyAlignment="1">
      <alignment/>
    </xf>
    <xf numFmtId="0" fontId="16" fillId="13" borderId="15" xfId="0" applyFont="1" applyFill="1" applyBorder="1" applyAlignment="1">
      <alignment/>
    </xf>
    <xf numFmtId="0" fontId="16" fillId="13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18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9" fontId="1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8" fillId="13" borderId="0" xfId="0" applyFont="1" applyFill="1" applyAlignment="1">
      <alignment horizontal="left"/>
    </xf>
    <xf numFmtId="0" fontId="11" fillId="13" borderId="10" xfId="0" applyFont="1" applyFill="1" applyBorder="1" applyAlignment="1">
      <alignment/>
    </xf>
    <xf numFmtId="0" fontId="11" fillId="13" borderId="10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Continuous"/>
    </xf>
    <xf numFmtId="0" fontId="16" fillId="1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9" fontId="11" fillId="18" borderId="10" xfId="0" applyNumberFormat="1" applyFont="1" applyFill="1" applyBorder="1" applyAlignment="1">
      <alignment horizontal="center"/>
    </xf>
    <xf numFmtId="0" fontId="16" fillId="13" borderId="17" xfId="0" applyFont="1" applyFill="1" applyBorder="1" applyAlignment="1">
      <alignment/>
    </xf>
    <xf numFmtId="0" fontId="16" fillId="13" borderId="18" xfId="0" applyFont="1" applyFill="1" applyBorder="1" applyAlignment="1">
      <alignment/>
    </xf>
    <xf numFmtId="3" fontId="16" fillId="13" borderId="18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 horizontal="left"/>
      <protection/>
    </xf>
    <xf numFmtId="184" fontId="0" fillId="0" borderId="0" xfId="0" applyNumberFormat="1" applyAlignment="1" applyProtection="1">
      <alignment/>
      <protection/>
    </xf>
    <xf numFmtId="184" fontId="7" fillId="0" borderId="19" xfId="0" applyNumberFormat="1" applyFont="1" applyBorder="1" applyAlignment="1" applyProtection="1">
      <alignment horizontal="left"/>
      <protection/>
    </xf>
    <xf numFmtId="185" fontId="22" fillId="0" borderId="20" xfId="0" applyNumberFormat="1" applyFont="1" applyBorder="1" applyAlignment="1" applyProtection="1">
      <alignment/>
      <protection locked="0"/>
    </xf>
    <xf numFmtId="3" fontId="22" fillId="0" borderId="21" xfId="0" applyNumberFormat="1" applyFont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/>
    </xf>
    <xf numFmtId="187" fontId="22" fillId="0" borderId="21" xfId="48" applyNumberFormat="1" applyFont="1" applyBorder="1" applyAlignment="1" applyProtection="1">
      <alignment/>
      <protection locked="0"/>
    </xf>
    <xf numFmtId="10" fontId="22" fillId="0" borderId="20" xfId="0" applyNumberFormat="1" applyFont="1" applyBorder="1" applyAlignment="1" applyProtection="1">
      <alignment/>
      <protection locked="0"/>
    </xf>
    <xf numFmtId="10" fontId="22" fillId="0" borderId="21" xfId="0" applyNumberFormat="1" applyFont="1" applyBorder="1" applyAlignment="1" applyProtection="1">
      <alignment/>
      <protection locked="0"/>
    </xf>
    <xf numFmtId="184" fontId="22" fillId="0" borderId="21" xfId="0" applyNumberFormat="1" applyFont="1" applyBorder="1" applyAlignment="1" applyProtection="1">
      <alignment/>
      <protection locked="0"/>
    </xf>
    <xf numFmtId="184" fontId="22" fillId="0" borderId="20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 horizontal="left"/>
      <protection/>
    </xf>
    <xf numFmtId="1" fontId="7" fillId="0" borderId="19" xfId="0" applyNumberFormat="1" applyFont="1" applyBorder="1" applyAlignment="1" applyProtection="1">
      <alignment horizontal="left"/>
      <protection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1" fontId="22" fillId="0" borderId="20" xfId="0" applyNumberFormat="1" applyFont="1" applyBorder="1" applyAlignment="1" applyProtection="1">
      <alignment/>
      <protection locked="0"/>
    </xf>
    <xf numFmtId="1" fontId="22" fillId="0" borderId="0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/>
    </xf>
    <xf numFmtId="1" fontId="23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>
      <alignment/>
    </xf>
    <xf numFmtId="1" fontId="7" fillId="0" borderId="22" xfId="0" applyNumberFormat="1" applyFont="1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 wrapText="1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wrapText="1"/>
    </xf>
    <xf numFmtId="1" fontId="7" fillId="0" borderId="25" xfId="0" applyNumberFormat="1" applyFont="1" applyBorder="1" applyAlignment="1" applyProtection="1">
      <alignment/>
      <protection locked="0"/>
    </xf>
    <xf numFmtId="1" fontId="7" fillId="0" borderId="25" xfId="0" applyNumberFormat="1" applyFont="1" applyBorder="1" applyAlignment="1" applyProtection="1">
      <alignment/>
      <protection/>
    </xf>
    <xf numFmtId="1" fontId="7" fillId="0" borderId="10" xfId="0" applyNumberFormat="1" applyFont="1" applyBorder="1" applyAlignment="1" applyProtection="1">
      <alignment/>
      <protection/>
    </xf>
    <xf numFmtId="1" fontId="7" fillId="0" borderId="26" xfId="0" applyNumberFormat="1" applyFont="1" applyBorder="1" applyAlignment="1" applyProtection="1">
      <alignment/>
      <protection locked="0"/>
    </xf>
    <xf numFmtId="1" fontId="7" fillId="0" borderId="27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>
      <alignment horizontal="center"/>
    </xf>
    <xf numFmtId="1" fontId="7" fillId="0" borderId="28" xfId="0" applyNumberFormat="1" applyFont="1" applyBorder="1" applyAlignment="1" applyProtection="1">
      <alignment/>
      <protection/>
    </xf>
    <xf numFmtId="1" fontId="7" fillId="0" borderId="29" xfId="0" applyNumberFormat="1" applyFont="1" applyBorder="1" applyAlignment="1" applyProtection="1">
      <alignment/>
      <protection/>
    </xf>
    <xf numFmtId="1" fontId="7" fillId="0" borderId="30" xfId="0" applyNumberFormat="1" applyFont="1" applyBorder="1" applyAlignment="1" applyProtection="1">
      <alignment/>
      <protection/>
    </xf>
    <xf numFmtId="0" fontId="1" fillId="7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13" borderId="10" xfId="0" applyFill="1" applyBorder="1" applyAlignment="1">
      <alignment horizontal="left" vertical="center"/>
    </xf>
    <xf numFmtId="9" fontId="25" fillId="19" borderId="10" xfId="0" applyNumberFormat="1" applyFont="1" applyFill="1" applyBorder="1" applyAlignment="1">
      <alignment horizontal="left"/>
    </xf>
    <xf numFmtId="0" fontId="11" fillId="7" borderId="10" xfId="0" applyFont="1" applyFill="1" applyBorder="1" applyAlignment="1">
      <alignment/>
    </xf>
    <xf numFmtId="0" fontId="0" fillId="13" borderId="0" xfId="0" applyFill="1" applyAlignment="1">
      <alignment/>
    </xf>
    <xf numFmtId="0" fontId="0" fillId="13" borderId="10" xfId="0" applyFill="1" applyBorder="1" applyAlignment="1">
      <alignment/>
    </xf>
    <xf numFmtId="0" fontId="45" fillId="13" borderId="19" xfId="0" applyFont="1" applyFill="1" applyBorder="1" applyAlignment="1" applyProtection="1">
      <alignment horizontal="left" vertical="center"/>
      <protection/>
    </xf>
    <xf numFmtId="0" fontId="0" fillId="13" borderId="10" xfId="0" applyFill="1" applyBorder="1" applyAlignment="1" applyProtection="1">
      <alignment/>
      <protection/>
    </xf>
    <xf numFmtId="3" fontId="46" fillId="13" borderId="10" xfId="0" applyNumberFormat="1" applyFont="1" applyFill="1" applyBorder="1" applyAlignment="1">
      <alignment horizontal="right" vertical="center" wrapText="1"/>
    </xf>
    <xf numFmtId="3" fontId="23" fillId="13" borderId="0" xfId="0" applyNumberFormat="1" applyFont="1" applyFill="1" applyAlignment="1" applyProtection="1">
      <alignment horizontal="right"/>
      <protection/>
    </xf>
    <xf numFmtId="0" fontId="45" fillId="13" borderId="19" xfId="0" applyFont="1" applyFill="1" applyBorder="1" applyAlignment="1">
      <alignment horizontal="left" vertical="center"/>
    </xf>
    <xf numFmtId="10" fontId="46" fillId="13" borderId="10" xfId="54" applyNumberFormat="1" applyFont="1" applyFill="1" applyBorder="1" applyAlignment="1">
      <alignment horizontal="right" vertical="center" wrapText="1"/>
    </xf>
    <xf numFmtId="9" fontId="0" fillId="13" borderId="10" xfId="0" applyNumberFormat="1" applyFont="1" applyFill="1" applyBorder="1" applyAlignment="1">
      <alignment/>
    </xf>
    <xf numFmtId="0" fontId="0" fillId="13" borderId="0" xfId="0" applyFill="1" applyAlignment="1">
      <alignment horizontal="left" vertical="center"/>
    </xf>
    <xf numFmtId="0" fontId="45" fillId="13" borderId="10" xfId="0" applyFont="1" applyFill="1" applyBorder="1" applyAlignment="1" applyProtection="1">
      <alignment horizontal="left" vertical="center"/>
      <protection/>
    </xf>
    <xf numFmtId="221" fontId="0" fillId="13" borderId="10" xfId="0" applyNumberFormat="1" applyFill="1" applyBorder="1" applyAlignment="1">
      <alignment/>
    </xf>
    <xf numFmtId="9" fontId="0" fillId="13" borderId="10" xfId="54" applyFont="1" applyFill="1" applyBorder="1" applyAlignment="1">
      <alignment/>
    </xf>
    <xf numFmtId="0" fontId="0" fillId="13" borderId="0" xfId="0" applyFill="1" applyBorder="1" applyAlignment="1">
      <alignment horizontal="left" vertical="center"/>
    </xf>
    <xf numFmtId="221" fontId="0" fillId="13" borderId="0" xfId="0" applyNumberFormat="1" applyFill="1" applyBorder="1" applyAlignment="1">
      <alignment/>
    </xf>
    <xf numFmtId="0" fontId="45" fillId="13" borderId="10" xfId="0" applyFont="1" applyFill="1" applyBorder="1" applyAlignment="1" applyProtection="1">
      <alignment horizontal="left"/>
      <protection/>
    </xf>
    <xf numFmtId="0" fontId="0" fillId="13" borderId="0" xfId="0" applyFill="1" applyBorder="1" applyAlignment="1">
      <alignment/>
    </xf>
    <xf numFmtId="3" fontId="46" fillId="13" borderId="0" xfId="0" applyNumberFormat="1" applyFont="1" applyFill="1" applyBorder="1" applyAlignment="1">
      <alignment horizontal="right" vertical="center" wrapText="1"/>
    </xf>
    <xf numFmtId="10" fontId="46" fillId="13" borderId="0" xfId="54" applyNumberFormat="1" applyFont="1" applyFill="1" applyBorder="1" applyAlignment="1">
      <alignment horizontal="right" vertical="center" wrapText="1"/>
    </xf>
    <xf numFmtId="0" fontId="0" fillId="13" borderId="10" xfId="0" applyFill="1" applyBorder="1" applyAlignment="1">
      <alignment horizontal="center"/>
    </xf>
    <xf numFmtId="3" fontId="0" fillId="13" borderId="10" xfId="0" applyNumberFormat="1" applyFill="1" applyBorder="1" applyAlignment="1">
      <alignment/>
    </xf>
    <xf numFmtId="8" fontId="0" fillId="13" borderId="0" xfId="0" applyNumberFormat="1" applyFill="1" applyAlignment="1">
      <alignment/>
    </xf>
    <xf numFmtId="3" fontId="0" fillId="13" borderId="0" xfId="0" applyNumberFormat="1" applyFill="1" applyAlignment="1">
      <alignment/>
    </xf>
    <xf numFmtId="2" fontId="0" fillId="13" borderId="10" xfId="0" applyNumberFormat="1" applyFill="1" applyBorder="1" applyAlignment="1">
      <alignment/>
    </xf>
    <xf numFmtId="4" fontId="0" fillId="7" borderId="10" xfId="0" applyNumberFormat="1" applyFill="1" applyBorder="1" applyAlignment="1">
      <alignment/>
    </xf>
    <xf numFmtId="4" fontId="0" fillId="2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13" borderId="10" xfId="0" applyNumberFormat="1" applyFill="1" applyBorder="1" applyAlignment="1">
      <alignment/>
    </xf>
    <xf numFmtId="0" fontId="20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49" fillId="0" borderId="0" xfId="0" applyFont="1" applyAlignment="1">
      <alignment/>
    </xf>
    <xf numFmtId="4" fontId="16" fillId="13" borderId="31" xfId="0" applyNumberFormat="1" applyFont="1" applyFill="1" applyBorder="1" applyAlignment="1">
      <alignment/>
    </xf>
    <xf numFmtId="4" fontId="11" fillId="20" borderId="32" xfId="0" applyNumberFormat="1" applyFont="1" applyFill="1" applyBorder="1" applyAlignment="1">
      <alignment/>
    </xf>
    <xf numFmtId="4" fontId="16" fillId="20" borderId="32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21" borderId="32" xfId="0" applyNumberFormat="1" applyFont="1" applyFill="1" applyBorder="1" applyAlignment="1" applyProtection="1">
      <alignment horizontal="center" vertical="center"/>
      <protection locked="0"/>
    </xf>
    <xf numFmtId="4" fontId="16" fillId="0" borderId="10" xfId="0" applyNumberFormat="1" applyFont="1" applyBorder="1" applyAlignment="1">
      <alignment/>
    </xf>
    <xf numFmtId="4" fontId="16" fillId="13" borderId="10" xfId="0" applyNumberFormat="1" applyFont="1" applyFill="1" applyBorder="1" applyAlignment="1">
      <alignment/>
    </xf>
    <xf numFmtId="4" fontId="16" fillId="13" borderId="18" xfId="0" applyNumberFormat="1" applyFont="1" applyFill="1" applyBorder="1" applyAlignment="1">
      <alignment/>
    </xf>
    <xf numFmtId="4" fontId="16" fillId="13" borderId="33" xfId="0" applyNumberFormat="1" applyFont="1" applyFill="1" applyBorder="1" applyAlignment="1">
      <alignment/>
    </xf>
    <xf numFmtId="4" fontId="16" fillId="13" borderId="10" xfId="0" applyNumberFormat="1" applyFont="1" applyFill="1" applyBorder="1" applyAlignment="1">
      <alignment/>
    </xf>
    <xf numFmtId="0" fontId="7" fillId="15" borderId="0" xfId="0" applyFont="1" applyFill="1" applyAlignment="1">
      <alignment/>
    </xf>
    <xf numFmtId="1" fontId="7" fillId="0" borderId="10" xfId="0" applyNumberFormat="1" applyFont="1" applyBorder="1" applyAlignment="1" applyProtection="1">
      <alignment horizontal="left"/>
      <protection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 applyProtection="1">
      <alignment/>
      <protection/>
    </xf>
    <xf numFmtId="1" fontId="22" fillId="0" borderId="10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1" fontId="24" fillId="0" borderId="10" xfId="0" applyNumberFormat="1" applyFont="1" applyBorder="1" applyAlignment="1">
      <alignment/>
    </xf>
    <xf numFmtId="2" fontId="0" fillId="22" borderId="10" xfId="0" applyNumberFormat="1" applyFill="1" applyBorder="1" applyAlignment="1">
      <alignment/>
    </xf>
    <xf numFmtId="2" fontId="7" fillId="23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22" borderId="10" xfId="0" applyFill="1" applyBorder="1" applyAlignment="1">
      <alignment horizontal="center" vertical="center"/>
    </xf>
    <xf numFmtId="2" fontId="51" fillId="23" borderId="10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2" fontId="11" fillId="24" borderId="10" xfId="0" applyNumberFormat="1" applyFont="1" applyFill="1" applyBorder="1" applyAlignment="1">
      <alignment horizontal="center"/>
    </xf>
    <xf numFmtId="4" fontId="0" fillId="25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7" fillId="0" borderId="21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2" fillId="22" borderId="30" xfId="0" applyFont="1" applyFill="1" applyBorder="1" applyAlignment="1">
      <alignment horizontal="center" vertical="center" wrapText="1"/>
    </xf>
    <xf numFmtId="0" fontId="52" fillId="22" borderId="25" xfId="0" applyFont="1" applyFill="1" applyBorder="1" applyAlignment="1">
      <alignment horizontal="center" vertical="center" wrapText="1"/>
    </xf>
    <xf numFmtId="0" fontId="52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13" borderId="12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1" fillId="13" borderId="3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left"/>
      <protection locked="0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23" borderId="19" xfId="0" applyFont="1" applyFill="1" applyBorder="1" applyAlignment="1">
      <alignment horizontal="center"/>
    </xf>
    <xf numFmtId="0" fontId="11" fillId="23" borderId="20" xfId="0" applyFont="1" applyFill="1" applyBorder="1" applyAlignment="1">
      <alignment horizontal="center"/>
    </xf>
    <xf numFmtId="0" fontId="11" fillId="23" borderId="21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84" fontId="7" fillId="0" borderId="38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84" fontId="7" fillId="0" borderId="19" xfId="0" applyNumberFormat="1" applyFont="1" applyBorder="1" applyAlignment="1" applyProtection="1">
      <alignment horizontal="left"/>
      <protection/>
    </xf>
    <xf numFmtId="184" fontId="7" fillId="0" borderId="20" xfId="0" applyNumberFormat="1" applyFont="1" applyBorder="1" applyAlignment="1" applyProtection="1">
      <alignment horizontal="left"/>
      <protection/>
    </xf>
    <xf numFmtId="1" fontId="7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84" fontId="7" fillId="0" borderId="0" xfId="0" applyNumberFormat="1" applyFont="1" applyAlignment="1" applyProtection="1">
      <alignment horizontal="center"/>
      <protection/>
    </xf>
    <xf numFmtId="184" fontId="7" fillId="0" borderId="39" xfId="0" applyNumberFormat="1" applyFont="1" applyBorder="1" applyAlignment="1" applyProtection="1">
      <alignment horizontal="center"/>
      <protection/>
    </xf>
    <xf numFmtId="0" fontId="44" fillId="13" borderId="0" xfId="0" applyFont="1" applyFill="1" applyAlignment="1">
      <alignment horizontal="center" vertical="center"/>
    </xf>
    <xf numFmtId="4" fontId="2" fillId="17" borderId="1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1" fillId="7" borderId="11" xfId="0" applyNumberFormat="1" applyFont="1" applyFill="1" applyBorder="1" applyAlignment="1">
      <alignment horizontal="right"/>
    </xf>
    <xf numFmtId="4" fontId="2" fillId="7" borderId="11" xfId="0" applyNumberFormat="1" applyFont="1" applyFill="1" applyBorder="1" applyAlignment="1">
      <alignment horizontal="right"/>
    </xf>
    <xf numFmtId="4" fontId="1" fillId="7" borderId="11" xfId="0" applyNumberFormat="1" applyFont="1" applyFill="1" applyBorder="1" applyAlignment="1">
      <alignment/>
    </xf>
    <xf numFmtId="4" fontId="1" fillId="13" borderId="11" xfId="0" applyNumberFormat="1" applyFont="1" applyFill="1" applyBorder="1" applyAlignment="1">
      <alignment horizontal="right"/>
    </xf>
    <xf numFmtId="4" fontId="2" fillId="13" borderId="11" xfId="0" applyNumberFormat="1" applyFont="1" applyFill="1" applyBorder="1" applyAlignment="1">
      <alignment horizontal="right"/>
    </xf>
    <xf numFmtId="4" fontId="7" fillId="23" borderId="4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0" fillId="13" borderId="41" xfId="0" applyFont="1" applyFill="1" applyBorder="1" applyAlignment="1">
      <alignment horizontal="center" vertical="center"/>
    </xf>
    <xf numFmtId="0" fontId="10" fillId="13" borderId="38" xfId="0" applyFont="1" applyFill="1" applyBorder="1" applyAlignment="1">
      <alignment horizontal="center" vertical="center"/>
    </xf>
    <xf numFmtId="0" fontId="10" fillId="13" borderId="42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44" xfId="0" applyFont="1" applyFill="1" applyBorder="1" applyAlignment="1">
      <alignment horizontal="center" vertical="center"/>
    </xf>
    <xf numFmtId="0" fontId="16" fillId="13" borderId="45" xfId="0" applyFont="1" applyFill="1" applyBorder="1" applyAlignment="1">
      <alignment/>
    </xf>
    <xf numFmtId="0" fontId="10" fillId="26" borderId="46" xfId="0" applyFont="1" applyFill="1" applyBorder="1" applyAlignment="1">
      <alignment horizontal="centerContinuous"/>
    </xf>
    <xf numFmtId="0" fontId="16" fillId="26" borderId="24" xfId="0" applyFont="1" applyFill="1" applyBorder="1" applyAlignment="1">
      <alignment horizontal="centerContinuous"/>
    </xf>
    <xf numFmtId="0" fontId="10" fillId="26" borderId="47" xfId="0" applyFont="1" applyFill="1" applyBorder="1" applyAlignment="1">
      <alignment horizontal="centerContinuous"/>
    </xf>
    <xf numFmtId="0" fontId="16" fillId="26" borderId="48" xfId="0" applyFont="1" applyFill="1" applyBorder="1" applyAlignment="1">
      <alignment horizontal="centerContinuous"/>
    </xf>
    <xf numFmtId="0" fontId="54" fillId="13" borderId="49" xfId="0" applyFont="1" applyFill="1" applyBorder="1" applyAlignment="1">
      <alignment/>
    </xf>
    <xf numFmtId="0" fontId="16" fillId="13" borderId="50" xfId="0" applyFont="1" applyFill="1" applyBorder="1" applyAlignment="1">
      <alignment/>
    </xf>
    <xf numFmtId="0" fontId="54" fillId="0" borderId="51" xfId="0" applyFont="1" applyBorder="1" applyAlignment="1">
      <alignment horizontal="left"/>
    </xf>
    <xf numFmtId="0" fontId="16" fillId="13" borderId="50" xfId="0" applyFont="1" applyFill="1" applyBorder="1" applyAlignment="1">
      <alignment horizontal="left"/>
    </xf>
    <xf numFmtId="0" fontId="16" fillId="13" borderId="52" xfId="0" applyFont="1" applyFill="1" applyBorder="1" applyAlignment="1">
      <alignment/>
    </xf>
    <xf numFmtId="0" fontId="14" fillId="0" borderId="53" xfId="0" applyFont="1" applyBorder="1" applyAlignment="1">
      <alignment/>
    </xf>
    <xf numFmtId="0" fontId="16" fillId="13" borderId="54" xfId="0" applyFont="1" applyFill="1" applyBorder="1" applyAlignment="1">
      <alignment/>
    </xf>
    <xf numFmtId="4" fontId="17" fillId="20" borderId="32" xfId="0" applyNumberFormat="1" applyFont="1" applyFill="1" applyBorder="1" applyAlignment="1" applyProtection="1">
      <alignment/>
      <protection locked="0"/>
    </xf>
    <xf numFmtId="4" fontId="17" fillId="20" borderId="32" xfId="0" applyNumberFormat="1" applyFont="1" applyFill="1" applyBorder="1" applyAlignment="1">
      <alignment/>
    </xf>
    <xf numFmtId="4" fontId="11" fillId="27" borderId="32" xfId="0" applyNumberFormat="1" applyFont="1" applyFill="1" applyBorder="1" applyAlignment="1">
      <alignment/>
    </xf>
    <xf numFmtId="0" fontId="17" fillId="0" borderId="55" xfId="0" applyFont="1" applyBorder="1" applyAlignment="1">
      <alignment/>
    </xf>
    <xf numFmtId="0" fontId="17" fillId="0" borderId="54" xfId="0" applyFont="1" applyBorder="1" applyAlignment="1">
      <alignment/>
    </xf>
    <xf numFmtId="0" fontId="14" fillId="0" borderId="54" xfId="0" applyFont="1" applyBorder="1" applyAlignment="1">
      <alignment/>
    </xf>
    <xf numFmtId="4" fontId="16" fillId="0" borderId="31" xfId="0" applyNumberFormat="1" applyFont="1" applyBorder="1" applyAlignment="1">
      <alignment/>
    </xf>
    <xf numFmtId="0" fontId="11" fillId="28" borderId="56" xfId="0" applyFont="1" applyFill="1" applyBorder="1" applyAlignment="1">
      <alignment horizontal="right"/>
    </xf>
    <xf numFmtId="4" fontId="11" fillId="29" borderId="57" xfId="0" applyNumberFormat="1" applyFont="1" applyFill="1" applyBorder="1" applyAlignment="1" applyProtection="1">
      <alignment horizontal="center" vertical="center"/>
      <protection locked="0"/>
    </xf>
    <xf numFmtId="0" fontId="11" fillId="28" borderId="58" xfId="0" applyFont="1" applyFill="1" applyBorder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tude%20de%20faisabilit&#233;\Etude%20de%20faisabil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arque"/>
      <sheetName val="FICHE PROJET"/>
      <sheetName val="FICHE PROMOTEUR"/>
      <sheetName val="FICHE GERANT"/>
      <sheetName val="ETUDE TECHNIQUE"/>
      <sheetName val="LOCAUX D'EXPLOITATION"/>
      <sheetName val="PERSONNEL-MAT 1ere"/>
      <sheetName val="PROCESS DE FABRICAT"/>
      <sheetName val="PROGRAMME INVEST"/>
      <sheetName val="VENTES"/>
      <sheetName val="ETUDE PREVISIONNELLE"/>
      <sheetName val="ETUDE PREVIS-2"/>
      <sheetName val="ETUDE PREVIS-2( SUITE)"/>
      <sheetName val="AUTRES CHARGES EXTERNES"/>
      <sheetName val="AMORT CREDIT"/>
      <sheetName val="FRAIS FINANCIER"/>
      <sheetName val="TABLEAU D'AMORT"/>
      <sheetName val="BILAN DEPART"/>
      <sheetName val="CPC PREVISIONNEL"/>
      <sheetName val="E S G"/>
      <sheetName val="BILANS PREVISIONNELS"/>
      <sheetName val="TABL.D'EVOL.STRUCT.FINANCIERE"/>
      <sheetName val="SEUIL DE RENTABILITE"/>
      <sheetName val="FICHE RECAPITULATIF DU PROJET"/>
      <sheetName val="PLANING DE REALISATION"/>
      <sheetName val="Feuil1"/>
      <sheetName val="TAB-D'AMORTISS"/>
      <sheetName val="FICHE ENTREPR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2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2" max="2" width="46.00390625" style="0" customWidth="1"/>
    <col min="3" max="3" width="25.00390625" style="0" customWidth="1"/>
    <col min="4" max="4" width="17.57421875" style="0" customWidth="1"/>
    <col min="5" max="5" width="20.8515625" style="0" customWidth="1"/>
  </cols>
  <sheetData>
    <row r="3" ht="12.75">
      <c r="B3" s="51" t="s">
        <v>170</v>
      </c>
    </row>
    <row r="5" spans="2:6" ht="26.25" customHeight="1">
      <c r="B5" s="242" t="s">
        <v>137</v>
      </c>
      <c r="C5" s="243"/>
      <c r="D5" s="243"/>
      <c r="E5" s="244"/>
      <c r="F5" s="24"/>
    </row>
    <row r="6" spans="2:6" ht="0.75" customHeight="1" thickBot="1">
      <c r="B6" s="245"/>
      <c r="C6" s="246"/>
      <c r="D6" s="246"/>
      <c r="E6" s="247"/>
      <c r="F6" s="24"/>
    </row>
    <row r="7" spans="2:6" ht="33.75" customHeight="1" thickBot="1">
      <c r="B7" s="249" t="s">
        <v>57</v>
      </c>
      <c r="C7" s="250"/>
      <c r="D7" s="251" t="s">
        <v>58</v>
      </c>
      <c r="E7" s="252"/>
      <c r="F7" s="24"/>
    </row>
    <row r="8" spans="2:6" ht="15.75">
      <c r="B8" s="253" t="s">
        <v>59</v>
      </c>
      <c r="C8" s="254"/>
      <c r="D8" s="255" t="s">
        <v>60</v>
      </c>
      <c r="E8" s="256"/>
      <c r="F8" s="24"/>
    </row>
    <row r="9" spans="2:6" ht="22.5" customHeight="1">
      <c r="B9" s="257" t="s">
        <v>61</v>
      </c>
      <c r="C9" s="27"/>
      <c r="D9" s="28"/>
      <c r="E9" s="248"/>
      <c r="F9" s="24"/>
    </row>
    <row r="10" spans="2:6" ht="22.5" customHeight="1">
      <c r="B10" s="258" t="s">
        <v>62</v>
      </c>
      <c r="C10" s="132">
        <v>8000</v>
      </c>
      <c r="D10" s="29" t="s">
        <v>63</v>
      </c>
      <c r="E10" s="132">
        <f>+E11</f>
        <v>50000</v>
      </c>
      <c r="F10" s="24"/>
    </row>
    <row r="11" spans="2:6" ht="22.5" customHeight="1">
      <c r="B11" s="259"/>
      <c r="C11" s="128"/>
      <c r="D11" s="30" t="s">
        <v>64</v>
      </c>
      <c r="E11" s="260">
        <v>50000</v>
      </c>
      <c r="F11" s="24"/>
    </row>
    <row r="12" spans="2:6" ht="30" customHeight="1">
      <c r="B12" s="258" t="s">
        <v>65</v>
      </c>
      <c r="C12" s="129"/>
      <c r="D12" s="30"/>
      <c r="E12" s="261"/>
      <c r="F12" s="24"/>
    </row>
    <row r="13" spans="2:6" ht="12.75">
      <c r="B13" s="259"/>
      <c r="C13" s="128"/>
      <c r="D13" s="31"/>
      <c r="E13" s="262" t="s">
        <v>61</v>
      </c>
      <c r="F13" s="24"/>
    </row>
    <row r="14" spans="2:6" ht="15.75">
      <c r="B14" s="258" t="s">
        <v>66</v>
      </c>
      <c r="C14" s="132">
        <f>C15+C20+C19+C18+C16</f>
        <v>294658.32999999996</v>
      </c>
      <c r="D14" s="30" t="s">
        <v>61</v>
      </c>
      <c r="E14" s="262" t="s">
        <v>61</v>
      </c>
      <c r="F14" s="24"/>
    </row>
    <row r="15" spans="2:6" ht="12.75">
      <c r="B15" s="263" t="s">
        <v>67</v>
      </c>
      <c r="C15" s="130">
        <f>'[1]LOCAUX D''EXPLOITATION'!E16</f>
        <v>0</v>
      </c>
      <c r="D15" s="32"/>
      <c r="E15" s="129" t="s">
        <v>61</v>
      </c>
      <c r="F15" s="24"/>
    </row>
    <row r="16" spans="2:6" ht="15.75">
      <c r="B16" s="264" t="s">
        <v>68</v>
      </c>
      <c r="C16" s="130">
        <v>30000</v>
      </c>
      <c r="D16" s="29" t="s">
        <v>69</v>
      </c>
      <c r="E16" s="132">
        <f>+E24-E10</f>
        <v>335929.382</v>
      </c>
      <c r="F16" s="24"/>
    </row>
    <row r="17" spans="2:7" ht="12.75">
      <c r="B17" s="264" t="s">
        <v>70</v>
      </c>
      <c r="C17" s="130">
        <f>'[1]LOCAUX D''EXPLOITATION'!E19</f>
        <v>0</v>
      </c>
      <c r="D17" s="30" t="s">
        <v>71</v>
      </c>
      <c r="E17" s="261">
        <f>+E16-E18</f>
        <v>305929.382</v>
      </c>
      <c r="F17" s="24"/>
      <c r="G17" s="159"/>
    </row>
    <row r="18" spans="2:6" ht="12.75">
      <c r="B18" s="264" t="s">
        <v>72</v>
      </c>
      <c r="C18" s="130">
        <f>MATERIEL!H30</f>
        <v>256658.33</v>
      </c>
      <c r="D18" s="33" t="s">
        <v>73</v>
      </c>
      <c r="E18" s="261">
        <v>30000</v>
      </c>
      <c r="F18" s="24"/>
    </row>
    <row r="19" spans="2:6" ht="12.75">
      <c r="B19" s="264" t="s">
        <v>74</v>
      </c>
      <c r="C19" s="130">
        <f>+'[1]LOCAUX D''EXPLOITATION'!G66</f>
        <v>0</v>
      </c>
      <c r="D19" s="32"/>
      <c r="E19" s="129" t="s">
        <v>61</v>
      </c>
      <c r="F19" s="24"/>
    </row>
    <row r="20" spans="2:6" ht="12.75">
      <c r="B20" s="264" t="s">
        <v>75</v>
      </c>
      <c r="C20" s="130">
        <f>MATERIEL!H34</f>
        <v>8000</v>
      </c>
      <c r="D20" s="34"/>
      <c r="E20" s="129" t="s">
        <v>61</v>
      </c>
      <c r="F20" s="24"/>
    </row>
    <row r="21" spans="2:6" ht="15.75">
      <c r="B21" s="265" t="s">
        <v>76</v>
      </c>
      <c r="C21" s="131"/>
      <c r="D21" s="32"/>
      <c r="E21" s="266" t="s">
        <v>61</v>
      </c>
      <c r="F21" s="24"/>
    </row>
    <row r="22" spans="2:6" ht="15.75">
      <c r="B22" s="265" t="s">
        <v>77</v>
      </c>
      <c r="C22" s="132">
        <v>5000</v>
      </c>
      <c r="D22" s="32"/>
      <c r="E22" s="266"/>
      <c r="F22" s="24"/>
    </row>
    <row r="23" spans="2:6" ht="15.75">
      <c r="B23" s="265" t="s">
        <v>78</v>
      </c>
      <c r="C23" s="132">
        <f>'B F R '!F14</f>
        <v>78271.052</v>
      </c>
      <c r="D23" s="32"/>
      <c r="E23" s="266"/>
      <c r="F23" s="24"/>
    </row>
    <row r="24" spans="2:6" ht="13.5" thickBot="1">
      <c r="B24" s="267" t="s">
        <v>56</v>
      </c>
      <c r="C24" s="268">
        <f>C10+C14+C21+C22+C23</f>
        <v>385929.382</v>
      </c>
      <c r="D24" s="269" t="s">
        <v>56</v>
      </c>
      <c r="E24" s="268">
        <f>C24</f>
        <v>385929.382</v>
      </c>
      <c r="F24" s="24"/>
    </row>
    <row r="25" spans="2:6" ht="12.75">
      <c r="B25" s="35"/>
      <c r="C25" s="35"/>
      <c r="D25" s="36"/>
      <c r="E25" s="35"/>
      <c r="F25" s="24"/>
    </row>
    <row r="26" spans="3:6" ht="12.75">
      <c r="C26" s="159"/>
      <c r="F26" s="35"/>
    </row>
    <row r="32" ht="12.75">
      <c r="C32" s="161"/>
    </row>
  </sheetData>
  <sheetProtection/>
  <mergeCells count="1">
    <mergeCell ref="B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K52"/>
  <sheetViews>
    <sheetView zoomScaleSheetLayoutView="100" zoomScalePageLayoutView="0" workbookViewId="0" topLeftCell="A1">
      <selection activeCell="I33" sqref="I33"/>
    </sheetView>
  </sheetViews>
  <sheetFormatPr defaultColWidth="11.421875" defaultRowHeight="12.75"/>
  <cols>
    <col min="1" max="1" width="2.421875" style="0" customWidth="1"/>
    <col min="2" max="2" width="43.140625" style="0" customWidth="1"/>
    <col min="3" max="3" width="12.8515625" style="0" customWidth="1"/>
    <col min="4" max="4" width="13.421875" style="0" bestFit="1" customWidth="1"/>
    <col min="5" max="6" width="13.7109375" style="0" bestFit="1" customWidth="1"/>
    <col min="7" max="7" width="14.00390625" style="0" bestFit="1" customWidth="1"/>
    <col min="9" max="9" width="32.28125" style="0" customWidth="1"/>
  </cols>
  <sheetData>
    <row r="1" ht="6" customHeight="1"/>
    <row r="2" ht="12.75" hidden="1"/>
    <row r="3" ht="12.75" hidden="1"/>
    <row r="4" spans="2:7" ht="12.75">
      <c r="B4" s="3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2:7" ht="12.75">
      <c r="B5" s="5" t="s">
        <v>9</v>
      </c>
      <c r="C5" s="222">
        <f>C6+C7</f>
        <v>601200</v>
      </c>
      <c r="D5" s="222">
        <f>D6+D7</f>
        <v>691380</v>
      </c>
      <c r="E5" s="222">
        <f>E6+E7</f>
        <v>751500</v>
      </c>
      <c r="F5" s="222">
        <f>F6+F7</f>
        <v>811620</v>
      </c>
      <c r="G5" s="222">
        <f>G6+G7</f>
        <v>901800</v>
      </c>
    </row>
    <row r="6" spans="2:7" ht="12.75">
      <c r="B6" s="3" t="s">
        <v>10</v>
      </c>
      <c r="C6" s="223">
        <f>'CA '!I17</f>
        <v>601200</v>
      </c>
      <c r="D6" s="223">
        <f>'CA '!E23</f>
        <v>691380</v>
      </c>
      <c r="E6" s="223">
        <f>'CA '!F23</f>
        <v>751500</v>
      </c>
      <c r="F6" s="223">
        <f>'CA '!G23</f>
        <v>811620</v>
      </c>
      <c r="G6" s="223">
        <f>'CA '!H23</f>
        <v>901800</v>
      </c>
    </row>
    <row r="7" spans="2:7" ht="12.75">
      <c r="B7" s="3" t="s">
        <v>11</v>
      </c>
      <c r="C7" s="159"/>
      <c r="D7" s="159"/>
      <c r="E7" s="224"/>
      <c r="F7" s="224"/>
      <c r="G7" s="224"/>
    </row>
    <row r="8" spans="2:7" ht="12.75">
      <c r="B8" s="5" t="s">
        <v>12</v>
      </c>
      <c r="C8" s="222">
        <f>C9+C11+C18+C20+C23</f>
        <v>412046.074</v>
      </c>
      <c r="D8" s="222">
        <f>D9+D11+D18+D20+D23</f>
        <v>432970.282</v>
      </c>
      <c r="E8" s="222">
        <f>E9+E11+E18+E20+E23</f>
        <v>440401.86600000004</v>
      </c>
      <c r="F8" s="222">
        <f>F9+F11+F18+F20+F23</f>
        <v>461683.86600000004</v>
      </c>
      <c r="G8" s="222">
        <f>G9+G11+G18+G20+G23</f>
        <v>461973.86600000004</v>
      </c>
    </row>
    <row r="9" spans="2:11" ht="12.75">
      <c r="B9" s="88" t="s">
        <v>13</v>
      </c>
      <c r="C9" s="225">
        <f>MATERIEL!H54</f>
        <v>37284.208</v>
      </c>
      <c r="D9" s="225">
        <f>(C9*2)</f>
        <v>74568.416</v>
      </c>
      <c r="E9" s="225">
        <v>85000</v>
      </c>
      <c r="F9" s="225">
        <v>100790</v>
      </c>
      <c r="G9" s="225">
        <v>101080</v>
      </c>
      <c r="K9" s="7"/>
    </row>
    <row r="10" spans="2:11" ht="12.75">
      <c r="B10" s="88" t="s">
        <v>14</v>
      </c>
      <c r="C10" s="225"/>
      <c r="D10" s="225"/>
      <c r="E10" s="225"/>
      <c r="F10" s="225"/>
      <c r="G10" s="225"/>
      <c r="K10" s="6"/>
    </row>
    <row r="11" spans="2:11" ht="12.75">
      <c r="B11" s="89" t="s">
        <v>15</v>
      </c>
      <c r="C11" s="226">
        <f>C12+C13+C14+C17+C15+C16</f>
        <v>141800</v>
      </c>
      <c r="D11" s="226">
        <f>D12+D13+D14+D17+D15+D16</f>
        <v>125440</v>
      </c>
      <c r="E11" s="226">
        <f>E12+E13+E14+E17+E15+E16</f>
        <v>122440</v>
      </c>
      <c r="F11" s="226">
        <f>F12+F13+F14+F17+F15+F16</f>
        <v>126840.00000000001</v>
      </c>
      <c r="G11" s="226">
        <f>G12+G13+G14+G17+G15+G16</f>
        <v>126840.00000000001</v>
      </c>
      <c r="K11" s="7"/>
    </row>
    <row r="12" spans="2:7" ht="12.75">
      <c r="B12" s="8" t="s">
        <v>16</v>
      </c>
      <c r="C12" s="223">
        <f>'autres charges externes '!C8</f>
        <v>18000</v>
      </c>
      <c r="D12" s="223">
        <f>'autres charges externes '!D8</f>
        <v>18000</v>
      </c>
      <c r="E12" s="223">
        <f>'autres charges externes '!E8</f>
        <v>18000</v>
      </c>
      <c r="F12" s="223">
        <f>'autres charges externes '!F8</f>
        <v>18000</v>
      </c>
      <c r="G12" s="223">
        <f>'autres charges externes '!G8</f>
        <v>18000</v>
      </c>
    </row>
    <row r="13" spans="2:7" ht="12.75">
      <c r="B13" s="8" t="s">
        <v>17</v>
      </c>
      <c r="C13" s="223">
        <f>'autres charges externes '!C9</f>
        <v>84000</v>
      </c>
      <c r="D13" s="223">
        <f>'autres charges externes '!D9</f>
        <v>84000</v>
      </c>
      <c r="E13" s="223">
        <f>'autres charges externes '!E9</f>
        <v>84000</v>
      </c>
      <c r="F13" s="223">
        <f>'autres charges externes '!F9</f>
        <v>92400.00000000001</v>
      </c>
      <c r="G13" s="223">
        <f>'autres charges externes '!G9</f>
        <v>92400.00000000001</v>
      </c>
    </row>
    <row r="14" spans="2:7" ht="12.75">
      <c r="B14" s="8" t="s">
        <v>18</v>
      </c>
      <c r="C14" s="223">
        <f>'autres charges externes '!C10</f>
        <v>1440</v>
      </c>
      <c r="D14" s="223">
        <f>'autres charges externes '!D10</f>
        <v>1440</v>
      </c>
      <c r="E14" s="223">
        <f>'autres charges externes '!F10</f>
        <v>1440</v>
      </c>
      <c r="F14" s="223">
        <f>'autres charges externes '!F10</f>
        <v>1440</v>
      </c>
      <c r="G14" s="223">
        <f>'autres charges externes '!G10</f>
        <v>1440</v>
      </c>
    </row>
    <row r="15" spans="2:7" ht="12.75">
      <c r="B15" s="8" t="s">
        <v>172</v>
      </c>
      <c r="C15" s="223">
        <f>+'autres charges externes '!C12</f>
        <v>8000</v>
      </c>
      <c r="D15" s="223">
        <f>+'autres charges externes '!D12</f>
        <v>8000</v>
      </c>
      <c r="E15" s="223">
        <f>+'autres charges externes '!E12</f>
        <v>8000</v>
      </c>
      <c r="F15" s="223">
        <f>+'autres charges externes '!F12</f>
        <v>7500</v>
      </c>
      <c r="G15" s="223">
        <f>+'autres charges externes '!G12</f>
        <v>7500</v>
      </c>
    </row>
    <row r="16" spans="2:7" ht="12.75">
      <c r="B16" s="8" t="s">
        <v>164</v>
      </c>
      <c r="C16" s="223">
        <f>+'autres charges externes '!C11</f>
        <v>24360</v>
      </c>
      <c r="D16" s="223">
        <f>+'autres charges externes '!D11</f>
        <v>8000</v>
      </c>
      <c r="E16" s="223">
        <f>+'autres charges externes '!E11</f>
        <v>5000</v>
      </c>
      <c r="F16" s="223">
        <f>+'autres charges externes '!F11</f>
        <v>1500</v>
      </c>
      <c r="G16" s="223">
        <f>+'autres charges externes '!G11</f>
        <v>1500</v>
      </c>
    </row>
    <row r="17" spans="2:7" ht="12.75">
      <c r="B17" s="8" t="s">
        <v>19</v>
      </c>
      <c r="C17" s="223">
        <f>'autres charges externes '!C13</f>
        <v>6000</v>
      </c>
      <c r="D17" s="223">
        <f>'autres charges externes '!D13</f>
        <v>6000</v>
      </c>
      <c r="E17" s="223">
        <f>'autres charges externes '!E13</f>
        <v>6000</v>
      </c>
      <c r="F17" s="223">
        <f>'autres charges externes '!F13</f>
        <v>6000</v>
      </c>
      <c r="G17" s="223">
        <f>'autres charges externes '!G13</f>
        <v>6000</v>
      </c>
    </row>
    <row r="18" spans="2:7" ht="12.75">
      <c r="B18" s="89" t="s">
        <v>20</v>
      </c>
      <c r="C18" s="226">
        <f>C19</f>
        <v>10920</v>
      </c>
      <c r="D18" s="226">
        <f>D19</f>
        <v>10920</v>
      </c>
      <c r="E18" s="226">
        <f>E19</f>
        <v>10920</v>
      </c>
      <c r="F18" s="226">
        <f>F19</f>
        <v>12012.000000000002</v>
      </c>
      <c r="G18" s="226">
        <f>G19</f>
        <v>12012.000000000002</v>
      </c>
    </row>
    <row r="19" spans="2:7" ht="12.75">
      <c r="B19" s="8" t="s">
        <v>21</v>
      </c>
      <c r="C19" s="223">
        <f>C13*13%</f>
        <v>10920</v>
      </c>
      <c r="D19" s="223">
        <f>D13*13%</f>
        <v>10920</v>
      </c>
      <c r="E19" s="223">
        <f>E13*13%</f>
        <v>10920</v>
      </c>
      <c r="F19" s="223">
        <f>F13*13%</f>
        <v>12012.000000000002</v>
      </c>
      <c r="G19" s="223">
        <f>G13*13%</f>
        <v>12012.000000000002</v>
      </c>
    </row>
    <row r="20" spans="2:7" ht="12.75">
      <c r="B20" s="88" t="s">
        <v>22</v>
      </c>
      <c r="C20" s="227">
        <f>C21+C22</f>
        <v>165310.2</v>
      </c>
      <c r="D20" s="227">
        <f>D21+D22</f>
        <v>165310.2</v>
      </c>
      <c r="E20" s="227">
        <f>E21+E22</f>
        <v>165310.2</v>
      </c>
      <c r="F20" s="227">
        <f>F21+F22</f>
        <v>165310.2</v>
      </c>
      <c r="G20" s="227">
        <f>G21+G22</f>
        <v>165310.2</v>
      </c>
    </row>
    <row r="21" spans="2:7" ht="12.75">
      <c r="B21" s="8" t="s">
        <v>23</v>
      </c>
      <c r="C21" s="223">
        <f>'autres charges externes '!E22</f>
        <v>138000</v>
      </c>
      <c r="D21" s="223">
        <f>'autres charges externes '!F22</f>
        <v>138000</v>
      </c>
      <c r="E21" s="223">
        <f>'autres charges externes '!G22</f>
        <v>138000</v>
      </c>
      <c r="F21" s="223">
        <f>'autres charges externes '!H22</f>
        <v>138000</v>
      </c>
      <c r="G21" s="223">
        <f>'autres charges externes '!I22</f>
        <v>138000</v>
      </c>
    </row>
    <row r="22" spans="2:7" ht="12.75">
      <c r="B22" s="8" t="s">
        <v>24</v>
      </c>
      <c r="C22" s="223">
        <f>C21*19.79%</f>
        <v>27310.2</v>
      </c>
      <c r="D22" s="223">
        <f>D21*19.79%</f>
        <v>27310.2</v>
      </c>
      <c r="E22" s="223">
        <f>E21*19.79%</f>
        <v>27310.2</v>
      </c>
      <c r="F22" s="223">
        <f>F21*19.79%</f>
        <v>27310.2</v>
      </c>
      <c r="G22" s="223">
        <f>G21*19.79%</f>
        <v>27310.2</v>
      </c>
    </row>
    <row r="23" spans="2:7" ht="12.75">
      <c r="B23" s="88" t="s">
        <v>25</v>
      </c>
      <c r="C23" s="226">
        <f>'Amort MATERIEL'!E14</f>
        <v>56731.666</v>
      </c>
      <c r="D23" s="226">
        <f>'Amort MATERIEL'!F14</f>
        <v>56731.666</v>
      </c>
      <c r="E23" s="226">
        <f>'Amort MATERIEL'!G14</f>
        <v>56731.666</v>
      </c>
      <c r="F23" s="226">
        <f>'Amort MATERIEL'!H14</f>
        <v>56731.666</v>
      </c>
      <c r="G23" s="226">
        <f>'Amort MATERIEL'!I14</f>
        <v>56731.666</v>
      </c>
    </row>
    <row r="24" spans="2:7" ht="12.75">
      <c r="B24" s="5" t="s">
        <v>26</v>
      </c>
      <c r="C24" s="222">
        <f>C5-C8</f>
        <v>189153.92599999998</v>
      </c>
      <c r="D24" s="222">
        <f>D5-D8</f>
        <v>258409.718</v>
      </c>
      <c r="E24" s="222">
        <f>E5-E8</f>
        <v>311098.13399999996</v>
      </c>
      <c r="F24" s="222">
        <f>F5-F8</f>
        <v>349936.13399999996</v>
      </c>
      <c r="G24" s="222">
        <f>G5-G8</f>
        <v>439826.13399999996</v>
      </c>
    </row>
    <row r="25" spans="2:7" ht="12.75">
      <c r="B25" s="9" t="s">
        <v>27</v>
      </c>
      <c r="C25" s="228"/>
      <c r="D25" s="228"/>
      <c r="E25" s="228"/>
      <c r="F25" s="228"/>
      <c r="G25" s="228"/>
    </row>
    <row r="26" spans="2:7" ht="12.75">
      <c r="B26" s="89" t="s">
        <v>28</v>
      </c>
      <c r="C26" s="226">
        <f>+C27</f>
        <v>19885.40983</v>
      </c>
      <c r="D26" s="226">
        <f>+D27</f>
        <v>19885.40983</v>
      </c>
      <c r="E26" s="226">
        <f>+E27</f>
        <v>55780.52313249387</v>
      </c>
      <c r="F26" s="226">
        <f>+F27</f>
        <v>65780.52313249386</v>
      </c>
      <c r="G26" s="226">
        <f>+G27</f>
        <v>65780.52313249386</v>
      </c>
    </row>
    <row r="27" spans="2:7" ht="12.75">
      <c r="B27" s="6" t="s">
        <v>29</v>
      </c>
      <c r="C27" s="223">
        <f>'AMORT DETTE '!C18</f>
        <v>19885.40983</v>
      </c>
      <c r="D27" s="223">
        <f>'AMORT DETTE '!C19</f>
        <v>19885.40983</v>
      </c>
      <c r="E27" s="223">
        <f>'AMORT DETTE '!E20</f>
        <v>55780.52313249387</v>
      </c>
      <c r="F27" s="223">
        <f>'AMORT DETTE '!E21+'AMORT DETTE '!J21</f>
        <v>65780.52313249386</v>
      </c>
      <c r="G27" s="223">
        <f>'AMORT DETTE '!E22+'AMORT DETTE '!J22</f>
        <v>65780.52313249386</v>
      </c>
    </row>
    <row r="28" spans="2:7" ht="12.75">
      <c r="B28" s="5" t="s">
        <v>30</v>
      </c>
      <c r="C28" s="222">
        <f>+C25-C26</f>
        <v>-19885.40983</v>
      </c>
      <c r="D28" s="222">
        <f>+D25-D26</f>
        <v>-19885.40983</v>
      </c>
      <c r="E28" s="222">
        <f>+E25-E26</f>
        <v>-55780.52313249387</v>
      </c>
      <c r="F28" s="222">
        <f>+F25-F26</f>
        <v>-65780.52313249386</v>
      </c>
      <c r="G28" s="222">
        <f>+G25-G26</f>
        <v>-65780.52313249386</v>
      </c>
    </row>
    <row r="29" spans="2:7" ht="12.75">
      <c r="B29" s="9" t="s">
        <v>31</v>
      </c>
      <c r="C29" s="229">
        <f>C24+C28</f>
        <v>169268.51617</v>
      </c>
      <c r="D29" s="229">
        <f>D24+D28</f>
        <v>238524.30817</v>
      </c>
      <c r="E29" s="229">
        <f>E24+E28</f>
        <v>255317.6108675061</v>
      </c>
      <c r="F29" s="229">
        <f>F24+F28</f>
        <v>284155.6108675061</v>
      </c>
      <c r="G29" s="229">
        <f>G24+G28</f>
        <v>374045.6108675061</v>
      </c>
    </row>
    <row r="30" spans="2:7" ht="12.75">
      <c r="B30" s="9" t="s">
        <v>32</v>
      </c>
      <c r="C30" s="229">
        <v>0</v>
      </c>
      <c r="D30" s="229">
        <v>0</v>
      </c>
      <c r="E30" s="229">
        <v>0</v>
      </c>
      <c r="F30" s="229">
        <v>0</v>
      </c>
      <c r="G30" s="229">
        <v>0</v>
      </c>
    </row>
    <row r="31" spans="2:7" ht="12.75">
      <c r="B31" s="9" t="s">
        <v>33</v>
      </c>
      <c r="C31" s="229">
        <v>0</v>
      </c>
      <c r="D31" s="229">
        <v>0</v>
      </c>
      <c r="E31" s="229">
        <v>0</v>
      </c>
      <c r="F31" s="229">
        <v>0</v>
      </c>
      <c r="G31" s="229">
        <v>0</v>
      </c>
    </row>
    <row r="32" spans="2:7" ht="12.75">
      <c r="B32" s="9" t="s">
        <v>34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</row>
    <row r="33" spans="2:7" ht="12.75">
      <c r="B33" s="89" t="s">
        <v>35</v>
      </c>
      <c r="C33" s="226">
        <f>C29+C32</f>
        <v>169268.51617</v>
      </c>
      <c r="D33" s="226">
        <f>D29+D32</f>
        <v>238524.30817</v>
      </c>
      <c r="E33" s="226">
        <f>E29+E32</f>
        <v>255317.6108675061</v>
      </c>
      <c r="F33" s="226">
        <f>F29+F32</f>
        <v>284155.6108675061</v>
      </c>
      <c r="G33" s="226">
        <f>G29+G32</f>
        <v>374045.6108675061</v>
      </c>
    </row>
    <row r="34" spans="2:7" ht="12.75">
      <c r="B34" s="3" t="s">
        <v>36</v>
      </c>
      <c r="C34" s="224">
        <f>C33*0.3</f>
        <v>50780.55485099999</v>
      </c>
      <c r="D34" s="224">
        <f>D33*0.3</f>
        <v>71557.292451</v>
      </c>
      <c r="E34" s="224">
        <f>E33*0.3</f>
        <v>76595.28326025183</v>
      </c>
      <c r="F34" s="224">
        <f>F33*0.3</f>
        <v>85246.68326025184</v>
      </c>
      <c r="G34" s="224">
        <f>G33*0.3</f>
        <v>112213.68326025184</v>
      </c>
    </row>
    <row r="35" spans="2:7" ht="12.75">
      <c r="B35" s="89" t="s">
        <v>37</v>
      </c>
      <c r="C35" s="226">
        <f>C33-C34</f>
        <v>118487.961319</v>
      </c>
      <c r="D35" s="226">
        <f>D33-D34</f>
        <v>166967.01571900002</v>
      </c>
      <c r="E35" s="226">
        <f>E33-E34</f>
        <v>178722.32760725426</v>
      </c>
      <c r="F35" s="226">
        <f>F33-F34</f>
        <v>198908.9276072543</v>
      </c>
      <c r="G35" s="226">
        <f>G33-G34</f>
        <v>261831.9276072543</v>
      </c>
    </row>
    <row r="36" spans="2:7" ht="12.75">
      <c r="B36" s="3" t="s">
        <v>38</v>
      </c>
      <c r="C36" s="224">
        <f>C5+C25+C30</f>
        <v>601200</v>
      </c>
      <c r="D36" s="224">
        <f>D5+D25+D30</f>
        <v>691380</v>
      </c>
      <c r="E36" s="224">
        <f>E5+E25+E30</f>
        <v>751500</v>
      </c>
      <c r="F36" s="224">
        <f>F5+F25+F30</f>
        <v>811620</v>
      </c>
      <c r="G36" s="224">
        <f>G5+G25+G30</f>
        <v>901800</v>
      </c>
    </row>
    <row r="37" spans="2:7" ht="12.75">
      <c r="B37" s="3" t="s">
        <v>39</v>
      </c>
      <c r="C37" s="224">
        <f>+C8+C26+C31+C34</f>
        <v>482712.038681</v>
      </c>
      <c r="D37" s="224">
        <f>+D8+D26+D31+D34</f>
        <v>524412.984281</v>
      </c>
      <c r="E37" s="224">
        <f>+E8+E26+E31+E34</f>
        <v>572777.6723927457</v>
      </c>
      <c r="F37" s="224">
        <f>+F8+F26+F31+F34</f>
        <v>612711.0723927458</v>
      </c>
      <c r="G37" s="224">
        <f>+G8+G26+G31+G34</f>
        <v>639968.0723927458</v>
      </c>
    </row>
    <row r="38" spans="2:7" ht="12.75">
      <c r="B38" s="5" t="s">
        <v>40</v>
      </c>
      <c r="C38" s="222">
        <f>C36-C37</f>
        <v>118487.961319</v>
      </c>
      <c r="D38" s="222">
        <f>D36-D37</f>
        <v>166967.01571900002</v>
      </c>
      <c r="E38" s="222">
        <f>E36-E37</f>
        <v>178722.32760725426</v>
      </c>
      <c r="F38" s="222">
        <f>F36-F37</f>
        <v>198908.92760725424</v>
      </c>
      <c r="G38" s="222">
        <f>G36-G37</f>
        <v>261831.92760725424</v>
      </c>
    </row>
    <row r="39" spans="3:7" ht="12.75">
      <c r="C39" s="230" t="s">
        <v>129</v>
      </c>
      <c r="D39" s="230"/>
      <c r="E39" s="159"/>
      <c r="F39" s="159"/>
      <c r="G39" s="159"/>
    </row>
    <row r="40" spans="2:7" ht="12.75">
      <c r="B40" s="93" t="s">
        <v>114</v>
      </c>
      <c r="C40" s="118">
        <f>+C38</f>
        <v>118487.961319</v>
      </c>
      <c r="D40" s="118">
        <f>+D38</f>
        <v>166967.01571900002</v>
      </c>
      <c r="E40" s="118">
        <f>+E38</f>
        <v>178722.32760725426</v>
      </c>
      <c r="F40" s="118">
        <f>+F38</f>
        <v>198908.92760725424</v>
      </c>
      <c r="G40" s="118">
        <f>+G38</f>
        <v>261831.92760725424</v>
      </c>
    </row>
    <row r="41" spans="2:7" ht="12.75">
      <c r="B41" s="90" t="s">
        <v>115</v>
      </c>
      <c r="C41" s="119">
        <f>+C23</f>
        <v>56731.666</v>
      </c>
      <c r="D41" s="119">
        <f>+D23</f>
        <v>56731.666</v>
      </c>
      <c r="E41" s="119">
        <f>+E23</f>
        <v>56731.666</v>
      </c>
      <c r="F41" s="119">
        <f>+F23</f>
        <v>56731.666</v>
      </c>
      <c r="G41" s="119">
        <f>+G23</f>
        <v>56731.666</v>
      </c>
    </row>
    <row r="42" spans="2:7" ht="12.75">
      <c r="B42" s="90" t="s">
        <v>116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</row>
    <row r="43" spans="2:7" ht="12.75">
      <c r="B43" s="91" t="s">
        <v>117</v>
      </c>
      <c r="C43" s="121">
        <f>C40-C42</f>
        <v>118487.961319</v>
      </c>
      <c r="D43" s="121">
        <f>D40-D42</f>
        <v>166967.01571900002</v>
      </c>
      <c r="E43" s="121">
        <f>E40-E42</f>
        <v>178722.32760725426</v>
      </c>
      <c r="F43" s="121">
        <f>F40-F42</f>
        <v>198908.92760725424</v>
      </c>
      <c r="G43" s="121">
        <f>G40-G42</f>
        <v>261831.92760725424</v>
      </c>
    </row>
    <row r="44" spans="2:7" ht="12.75">
      <c r="B44" s="92" t="s">
        <v>118</v>
      </c>
      <c r="C44" s="169">
        <f>C40+C41</f>
        <v>175219.627319</v>
      </c>
      <c r="D44" s="169">
        <f>D40+D41</f>
        <v>223698.68171900001</v>
      </c>
      <c r="E44" s="169">
        <f>E40+E41</f>
        <v>235453.99360725426</v>
      </c>
      <c r="F44" s="169">
        <f>F40+F41</f>
        <v>255640.59360725424</v>
      </c>
      <c r="G44" s="169">
        <f>G40+G41</f>
        <v>318563.5936072542</v>
      </c>
    </row>
    <row r="52" ht="12.75">
      <c r="C52" s="7"/>
    </row>
  </sheetData>
  <sheetProtection/>
  <mergeCells count="1">
    <mergeCell ref="C39:D39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SheetLayoutView="100" zoomScalePageLayoutView="0" workbookViewId="0" topLeftCell="A1">
      <selection activeCell="C32" sqref="C32"/>
    </sheetView>
  </sheetViews>
  <sheetFormatPr defaultColWidth="11.421875" defaultRowHeight="12.75"/>
  <cols>
    <col min="1" max="1" width="5.7109375" style="0" customWidth="1"/>
    <col min="2" max="2" width="23.8515625" style="0" customWidth="1"/>
    <col min="5" max="5" width="12.140625" style="0" customWidth="1"/>
    <col min="7" max="7" width="9.57421875" style="0" customWidth="1"/>
    <col min="8" max="8" width="18.140625" style="0" customWidth="1"/>
    <col min="9" max="9" width="15.57421875" style="0" customWidth="1"/>
  </cols>
  <sheetData>
    <row r="1" ht="12.75">
      <c r="B1" s="51" t="s">
        <v>171</v>
      </c>
    </row>
    <row r="2" ht="12.75">
      <c r="G2" s="151"/>
    </row>
    <row r="3" spans="2:9" ht="25.5" customHeight="1">
      <c r="B3" s="176" t="s">
        <v>0</v>
      </c>
      <c r="C3" s="176" t="s">
        <v>3</v>
      </c>
      <c r="D3" s="176" t="s">
        <v>142</v>
      </c>
      <c r="E3" s="176"/>
      <c r="F3" s="176"/>
      <c r="G3" s="176"/>
      <c r="H3" s="174" t="s">
        <v>1</v>
      </c>
      <c r="I3" s="174" t="s">
        <v>2</v>
      </c>
    </row>
    <row r="4" spans="2:9" ht="26.25" customHeight="1">
      <c r="B4" s="176"/>
      <c r="C4" s="176"/>
      <c r="D4" s="176"/>
      <c r="E4" s="176"/>
      <c r="F4" s="176"/>
      <c r="G4" s="176"/>
      <c r="H4" s="175"/>
      <c r="I4" s="175"/>
    </row>
    <row r="5" spans="2:9" ht="15">
      <c r="B5" s="152" t="s">
        <v>158</v>
      </c>
      <c r="C5" s="153">
        <v>30</v>
      </c>
      <c r="D5" s="177">
        <v>120</v>
      </c>
      <c r="E5" s="177"/>
      <c r="F5" s="177"/>
      <c r="G5" s="177"/>
      <c r="H5" s="154">
        <f>D5*12</f>
        <v>1440</v>
      </c>
      <c r="I5" s="2">
        <f>D5*12*C5</f>
        <v>43200</v>
      </c>
    </row>
    <row r="6" spans="2:9" ht="15.75" customHeight="1">
      <c r="B6" s="152" t="s">
        <v>157</v>
      </c>
      <c r="C6" s="153">
        <v>25</v>
      </c>
      <c r="D6" s="177">
        <v>60</v>
      </c>
      <c r="E6" s="177"/>
      <c r="F6" s="177"/>
      <c r="G6" s="177"/>
      <c r="H6" s="154">
        <f aca="true" t="shared" si="0" ref="H6:H16">D6*12</f>
        <v>720</v>
      </c>
      <c r="I6" s="2">
        <f aca="true" t="shared" si="1" ref="I6:I16">D6*12*C6</f>
        <v>18000</v>
      </c>
    </row>
    <row r="7" spans="2:9" ht="15">
      <c r="B7" s="152" t="s">
        <v>151</v>
      </c>
      <c r="C7" s="153">
        <v>40</v>
      </c>
      <c r="D7" s="177">
        <v>60</v>
      </c>
      <c r="E7" s="177"/>
      <c r="F7" s="177"/>
      <c r="G7" s="177"/>
      <c r="H7" s="154">
        <f t="shared" si="0"/>
        <v>720</v>
      </c>
      <c r="I7" s="2">
        <f t="shared" si="1"/>
        <v>28800</v>
      </c>
    </row>
    <row r="8" spans="2:9" ht="15">
      <c r="B8" s="152" t="s">
        <v>150</v>
      </c>
      <c r="C8" s="153">
        <v>50</v>
      </c>
      <c r="D8" s="177">
        <v>50</v>
      </c>
      <c r="E8" s="177"/>
      <c r="F8" s="177"/>
      <c r="G8" s="177"/>
      <c r="H8" s="154">
        <f t="shared" si="0"/>
        <v>600</v>
      </c>
      <c r="I8" s="2">
        <f t="shared" si="1"/>
        <v>30000</v>
      </c>
    </row>
    <row r="9" spans="2:9" ht="15">
      <c r="B9" s="152" t="s">
        <v>152</v>
      </c>
      <c r="C9" s="153">
        <v>80</v>
      </c>
      <c r="D9" s="177">
        <v>60</v>
      </c>
      <c r="E9" s="177"/>
      <c r="F9" s="177"/>
      <c r="G9" s="177"/>
      <c r="H9" s="154">
        <f t="shared" si="0"/>
        <v>720</v>
      </c>
      <c r="I9" s="2">
        <f t="shared" si="1"/>
        <v>57600</v>
      </c>
    </row>
    <row r="10" spans="2:9" ht="15">
      <c r="B10" s="152" t="s">
        <v>153</v>
      </c>
      <c r="C10" s="153">
        <v>200</v>
      </c>
      <c r="D10" s="177">
        <v>40</v>
      </c>
      <c r="E10" s="177"/>
      <c r="F10" s="177"/>
      <c r="G10" s="177"/>
      <c r="H10" s="154">
        <f t="shared" si="0"/>
        <v>480</v>
      </c>
      <c r="I10" s="2">
        <f t="shared" si="1"/>
        <v>96000</v>
      </c>
    </row>
    <row r="11" spans="2:9" ht="15">
      <c r="B11" s="152" t="s">
        <v>159</v>
      </c>
      <c r="C11" s="153">
        <v>80</v>
      </c>
      <c r="D11" s="177">
        <v>100</v>
      </c>
      <c r="E11" s="177"/>
      <c r="F11" s="177"/>
      <c r="G11" s="177"/>
      <c r="H11" s="154">
        <f t="shared" si="0"/>
        <v>1200</v>
      </c>
      <c r="I11" s="2">
        <f t="shared" si="1"/>
        <v>96000</v>
      </c>
    </row>
    <row r="12" spans="2:9" ht="15">
      <c r="B12" s="152" t="s">
        <v>167</v>
      </c>
      <c r="C12" s="153">
        <v>180</v>
      </c>
      <c r="D12" s="177">
        <v>65</v>
      </c>
      <c r="E12" s="177"/>
      <c r="F12" s="177"/>
      <c r="G12" s="177"/>
      <c r="H12" s="154">
        <f t="shared" si="0"/>
        <v>780</v>
      </c>
      <c r="I12" s="2">
        <f t="shared" si="1"/>
        <v>140400</v>
      </c>
    </row>
    <row r="13" spans="2:9" ht="15">
      <c r="B13" s="152" t="s">
        <v>154</v>
      </c>
      <c r="C13" s="153">
        <v>20</v>
      </c>
      <c r="D13" s="177">
        <v>60</v>
      </c>
      <c r="E13" s="177"/>
      <c r="F13" s="177"/>
      <c r="G13" s="177"/>
      <c r="H13" s="154">
        <f t="shared" si="0"/>
        <v>720</v>
      </c>
      <c r="I13" s="2">
        <f t="shared" si="1"/>
        <v>14400</v>
      </c>
    </row>
    <row r="14" spans="2:9" ht="15">
      <c r="B14" s="152" t="s">
        <v>155</v>
      </c>
      <c r="C14" s="153">
        <v>10</v>
      </c>
      <c r="D14" s="177">
        <v>100</v>
      </c>
      <c r="E14" s="177"/>
      <c r="F14" s="177"/>
      <c r="G14" s="177"/>
      <c r="H14" s="154">
        <f t="shared" si="0"/>
        <v>1200</v>
      </c>
      <c r="I14" s="2">
        <f t="shared" si="1"/>
        <v>12000</v>
      </c>
    </row>
    <row r="15" spans="2:9" ht="15">
      <c r="B15" s="152" t="s">
        <v>156</v>
      </c>
      <c r="C15" s="153">
        <v>10</v>
      </c>
      <c r="D15" s="177">
        <v>180</v>
      </c>
      <c r="E15" s="177"/>
      <c r="F15" s="177"/>
      <c r="G15" s="177"/>
      <c r="H15" s="154">
        <f t="shared" si="0"/>
        <v>2160</v>
      </c>
      <c r="I15" s="2">
        <f t="shared" si="1"/>
        <v>21600</v>
      </c>
    </row>
    <row r="16" spans="2:9" ht="15">
      <c r="B16" s="152" t="s">
        <v>168</v>
      </c>
      <c r="C16" s="153">
        <v>30</v>
      </c>
      <c r="D16" s="177">
        <v>120</v>
      </c>
      <c r="E16" s="177"/>
      <c r="F16" s="177"/>
      <c r="G16" s="177"/>
      <c r="H16" s="154">
        <f t="shared" si="0"/>
        <v>1440</v>
      </c>
      <c r="I16" s="2">
        <f t="shared" si="1"/>
        <v>43200</v>
      </c>
    </row>
    <row r="17" spans="2:9" ht="18">
      <c r="B17" s="155"/>
      <c r="C17" s="156"/>
      <c r="D17" s="157"/>
      <c r="E17" s="158"/>
      <c r="F17" s="158"/>
      <c r="G17" s="158"/>
      <c r="H17" s="158"/>
      <c r="I17" s="164">
        <f>SUM(I5:I16)</f>
        <v>601200</v>
      </c>
    </row>
    <row r="18" spans="2:4" ht="15">
      <c r="B18" s="155"/>
      <c r="C18" s="156"/>
      <c r="D18" s="157"/>
    </row>
    <row r="21" spans="2:8" ht="12.75">
      <c r="B21" s="178"/>
      <c r="C21" s="179"/>
      <c r="D21" s="163" t="s">
        <v>4</v>
      </c>
      <c r="E21" s="163" t="s">
        <v>5</v>
      </c>
      <c r="F21" s="163" t="s">
        <v>6</v>
      </c>
      <c r="G21" s="163" t="s">
        <v>7</v>
      </c>
      <c r="H21" s="163" t="s">
        <v>8</v>
      </c>
    </row>
    <row r="22" spans="2:8" ht="12.75">
      <c r="B22" s="178" t="s">
        <v>42</v>
      </c>
      <c r="C22" s="179"/>
      <c r="D22" s="11"/>
      <c r="E22" s="12">
        <v>0.15</v>
      </c>
      <c r="F22" s="12">
        <v>0.25</v>
      </c>
      <c r="G22" s="12">
        <v>0.35</v>
      </c>
      <c r="H22" s="12">
        <v>0.5</v>
      </c>
    </row>
    <row r="23" spans="2:8" ht="12.75">
      <c r="B23" s="172" t="s">
        <v>41</v>
      </c>
      <c r="C23" s="173"/>
      <c r="D23" s="13">
        <f>I17</f>
        <v>601200</v>
      </c>
      <c r="E23" s="11">
        <f>D23+(D23*E22)</f>
        <v>691380</v>
      </c>
      <c r="F23" s="11">
        <f>D23+(D23*F22)</f>
        <v>751500</v>
      </c>
      <c r="G23" s="11">
        <f>D23+(D23*G22)</f>
        <v>811620</v>
      </c>
      <c r="H23" s="11">
        <f>D23+(D23*H22)</f>
        <v>901800</v>
      </c>
    </row>
  </sheetData>
  <sheetProtection/>
  <mergeCells count="20">
    <mergeCell ref="D7:G7"/>
    <mergeCell ref="D8:G8"/>
    <mergeCell ref="D9:G9"/>
    <mergeCell ref="D10:G10"/>
    <mergeCell ref="B21:C21"/>
    <mergeCell ref="B22:C22"/>
    <mergeCell ref="D11:G11"/>
    <mergeCell ref="D12:G12"/>
    <mergeCell ref="D13:G13"/>
    <mergeCell ref="D14:G14"/>
    <mergeCell ref="B23:C23"/>
    <mergeCell ref="I3:I4"/>
    <mergeCell ref="D3:G4"/>
    <mergeCell ref="H3:H4"/>
    <mergeCell ref="D5:G5"/>
    <mergeCell ref="D6:G6"/>
    <mergeCell ref="B3:B4"/>
    <mergeCell ref="C3:C4"/>
    <mergeCell ref="D15:G15"/>
    <mergeCell ref="D16:G16"/>
  </mergeCells>
  <printOptions/>
  <pageMargins left="0.787401575" right="0.787401575" top="0.984251969" bottom="0.984251969" header="0.4921259845" footer="0.4921259845"/>
  <pageSetup horizontalDpi="600" verticalDpi="600" orientation="landscape" paperSize="9" scale="6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4:J54"/>
  <sheetViews>
    <sheetView zoomScale="130" zoomScaleNormal="130" zoomScalePageLayoutView="0" workbookViewId="0" topLeftCell="C31">
      <selection activeCell="H34" sqref="H34"/>
    </sheetView>
  </sheetViews>
  <sheetFormatPr defaultColWidth="11.421875" defaultRowHeight="12.75"/>
  <cols>
    <col min="4" max="4" width="17.140625" style="0" customWidth="1"/>
    <col min="5" max="5" width="14.140625" style="0" customWidth="1"/>
    <col min="6" max="6" width="7.28125" style="0" customWidth="1"/>
    <col min="7" max="7" width="14.8515625" style="0" customWidth="1"/>
    <col min="8" max="8" width="14.00390625" style="0" customWidth="1"/>
  </cols>
  <sheetData>
    <row r="4" spans="3:5" ht="19.5">
      <c r="C4" s="184" t="s">
        <v>43</v>
      </c>
      <c r="D4" s="184"/>
      <c r="E4" s="184"/>
    </row>
    <row r="7" spans="4:5" ht="12.75">
      <c r="D7" s="180" t="s">
        <v>47</v>
      </c>
      <c r="E7" s="181"/>
    </row>
    <row r="9" spans="4:8" ht="12.75">
      <c r="D9" s="185" t="s">
        <v>44</v>
      </c>
      <c r="E9" s="185"/>
      <c r="F9" s="165" t="s">
        <v>45</v>
      </c>
      <c r="G9" s="165" t="s">
        <v>46</v>
      </c>
      <c r="H9" s="165" t="s">
        <v>50</v>
      </c>
    </row>
    <row r="10" spans="4:8" ht="12.75">
      <c r="D10" s="182" t="s">
        <v>160</v>
      </c>
      <c r="E10" s="182"/>
      <c r="F10" s="10">
        <v>1</v>
      </c>
      <c r="G10" s="2">
        <v>8000</v>
      </c>
      <c r="H10" s="2">
        <f>G10*F10</f>
        <v>8000</v>
      </c>
    </row>
    <row r="11" spans="4:8" ht="12.75">
      <c r="D11" s="182" t="str">
        <f>+$D$10</f>
        <v>F P 62/09</v>
      </c>
      <c r="E11" s="182"/>
      <c r="F11" s="10">
        <v>1</v>
      </c>
      <c r="G11" s="2">
        <v>2500</v>
      </c>
      <c r="H11" s="2">
        <f aca="true" t="shared" si="0" ref="H11:H26">G11*F11</f>
        <v>2500</v>
      </c>
    </row>
    <row r="12" spans="4:8" ht="12.75">
      <c r="D12" s="182" t="str">
        <f>+$D$10</f>
        <v>F P 62/09</v>
      </c>
      <c r="E12" s="182"/>
      <c r="F12" s="10">
        <v>1</v>
      </c>
      <c r="G12" s="2">
        <v>4000</v>
      </c>
      <c r="H12" s="2">
        <f t="shared" si="0"/>
        <v>4000</v>
      </c>
    </row>
    <row r="13" spans="4:8" ht="12.75">
      <c r="D13" s="182" t="str">
        <f>+$D$10</f>
        <v>F P 62/09</v>
      </c>
      <c r="E13" s="182"/>
      <c r="F13" s="10">
        <v>1</v>
      </c>
      <c r="G13" s="2">
        <v>4500</v>
      </c>
      <c r="H13" s="2">
        <f t="shared" si="0"/>
        <v>4500</v>
      </c>
    </row>
    <row r="14" spans="4:8" ht="12.75">
      <c r="D14" s="182" t="str">
        <f>+$D$10</f>
        <v>F P 62/09</v>
      </c>
      <c r="E14" s="182"/>
      <c r="F14" s="10">
        <v>1</v>
      </c>
      <c r="G14" s="2">
        <v>4500</v>
      </c>
      <c r="H14" s="2">
        <f t="shared" si="0"/>
        <v>4500</v>
      </c>
    </row>
    <row r="15" spans="4:8" ht="12.75">
      <c r="D15" s="182" t="s">
        <v>161</v>
      </c>
      <c r="E15" s="182"/>
      <c r="F15" s="10">
        <v>1</v>
      </c>
      <c r="G15" s="2">
        <v>14500</v>
      </c>
      <c r="H15" s="2">
        <f t="shared" si="0"/>
        <v>14500</v>
      </c>
    </row>
    <row r="16" spans="4:8" ht="12.75">
      <c r="D16" s="182" t="str">
        <f>+$D$15</f>
        <v>F P 61/09</v>
      </c>
      <c r="E16" s="182"/>
      <c r="F16" s="10">
        <v>1</v>
      </c>
      <c r="G16" s="2">
        <v>38000</v>
      </c>
      <c r="H16" s="2">
        <f t="shared" si="0"/>
        <v>38000</v>
      </c>
    </row>
    <row r="17" spans="4:8" ht="12.75">
      <c r="D17" s="182" t="str">
        <f aca="true" t="shared" si="1" ref="D17:D25">+$D$15</f>
        <v>F P 61/09</v>
      </c>
      <c r="E17" s="182"/>
      <c r="F17" s="10">
        <v>1</v>
      </c>
      <c r="G17" s="2">
        <v>85000</v>
      </c>
      <c r="H17" s="2">
        <f t="shared" si="0"/>
        <v>85000</v>
      </c>
    </row>
    <row r="18" spans="4:8" ht="12.75">
      <c r="D18" s="182" t="str">
        <f t="shared" si="1"/>
        <v>F P 61/09</v>
      </c>
      <c r="E18" s="182"/>
      <c r="F18" s="10">
        <v>1</v>
      </c>
      <c r="G18" s="2">
        <v>17000</v>
      </c>
      <c r="H18" s="2">
        <f t="shared" si="0"/>
        <v>17000</v>
      </c>
    </row>
    <row r="19" spans="4:8" ht="12.75">
      <c r="D19" s="182" t="str">
        <f t="shared" si="1"/>
        <v>F P 61/09</v>
      </c>
      <c r="E19" s="182"/>
      <c r="F19" s="10">
        <v>1</v>
      </c>
      <c r="G19" s="2">
        <v>2500</v>
      </c>
      <c r="H19" s="2">
        <f t="shared" si="0"/>
        <v>2500</v>
      </c>
    </row>
    <row r="20" spans="4:8" ht="12.75">
      <c r="D20" s="182" t="str">
        <f t="shared" si="1"/>
        <v>F P 61/09</v>
      </c>
      <c r="E20" s="182"/>
      <c r="F20" s="10">
        <v>3</v>
      </c>
      <c r="G20" s="2">
        <v>2500</v>
      </c>
      <c r="H20" s="2">
        <f t="shared" si="0"/>
        <v>7500</v>
      </c>
    </row>
    <row r="21" spans="4:8" ht="12.75">
      <c r="D21" s="182" t="str">
        <f t="shared" si="1"/>
        <v>F P 61/09</v>
      </c>
      <c r="E21" s="182"/>
      <c r="F21" s="10">
        <v>1</v>
      </c>
      <c r="G21" s="2">
        <v>4500</v>
      </c>
      <c r="H21" s="2">
        <f t="shared" si="0"/>
        <v>4500</v>
      </c>
    </row>
    <row r="22" spans="4:8" ht="12.75">
      <c r="D22" s="182" t="str">
        <f t="shared" si="1"/>
        <v>F P 61/09</v>
      </c>
      <c r="E22" s="182"/>
      <c r="F22" s="10">
        <v>1</v>
      </c>
      <c r="G22" s="2">
        <v>1800</v>
      </c>
      <c r="H22" s="2">
        <f t="shared" si="0"/>
        <v>1800</v>
      </c>
    </row>
    <row r="23" spans="4:8" ht="12.75">
      <c r="D23" s="182" t="str">
        <f t="shared" si="1"/>
        <v>F P 61/09</v>
      </c>
      <c r="E23" s="182"/>
      <c r="F23" s="10">
        <v>1</v>
      </c>
      <c r="G23" s="2">
        <v>2200</v>
      </c>
      <c r="H23" s="2">
        <f t="shared" si="0"/>
        <v>2200</v>
      </c>
    </row>
    <row r="24" spans="4:8" ht="12.75">
      <c r="D24" s="182" t="str">
        <f t="shared" si="1"/>
        <v>F P 61/09</v>
      </c>
      <c r="E24" s="182"/>
      <c r="F24" s="10">
        <v>1</v>
      </c>
      <c r="G24" s="2">
        <v>45000</v>
      </c>
      <c r="H24" s="2">
        <f t="shared" si="0"/>
        <v>45000</v>
      </c>
    </row>
    <row r="25" spans="4:8" ht="12.75">
      <c r="D25" s="182" t="str">
        <f t="shared" si="1"/>
        <v>F P 61/09</v>
      </c>
      <c r="E25" s="182"/>
      <c r="F25" s="10">
        <v>1</v>
      </c>
      <c r="G25" s="2">
        <v>8500</v>
      </c>
      <c r="H25" s="2">
        <f t="shared" si="0"/>
        <v>8500</v>
      </c>
    </row>
    <row r="26" spans="4:8" ht="12.75">
      <c r="D26" s="182" t="s">
        <v>162</v>
      </c>
      <c r="E26" s="182"/>
      <c r="F26" s="10">
        <v>1</v>
      </c>
      <c r="G26" s="2">
        <v>6658.33</v>
      </c>
      <c r="H26" s="2">
        <f t="shared" si="0"/>
        <v>6658.33</v>
      </c>
    </row>
    <row r="27" spans="4:8" ht="12.75">
      <c r="D27" s="48"/>
      <c r="E27" s="48"/>
      <c r="F27" s="49"/>
      <c r="G27" s="50"/>
      <c r="H27" s="50"/>
    </row>
    <row r="28" spans="5:8" ht="12.75">
      <c r="E28" s="189"/>
      <c r="F28" s="189"/>
      <c r="G28" s="189"/>
      <c r="H28" s="21"/>
    </row>
    <row r="29" ht="12.75">
      <c r="H29" s="21"/>
    </row>
    <row r="30" spans="7:8" ht="12.75">
      <c r="G30" t="s">
        <v>163</v>
      </c>
      <c r="H30" s="150">
        <f>SUM(H10:H26)</f>
        <v>256658.33</v>
      </c>
    </row>
    <row r="31" ht="12.75">
      <c r="H31" s="21"/>
    </row>
    <row r="32" ht="12.75">
      <c r="H32" s="21"/>
    </row>
    <row r="33" ht="12.75">
      <c r="H33" s="21"/>
    </row>
    <row r="34" spans="5:8" ht="12.75">
      <c r="E34" t="s">
        <v>141</v>
      </c>
      <c r="H34" s="150">
        <v>8000</v>
      </c>
    </row>
    <row r="35" ht="12.75">
      <c r="H35" s="21"/>
    </row>
    <row r="36" ht="12.75">
      <c r="H36" s="21"/>
    </row>
    <row r="37" ht="12.75">
      <c r="H37" s="21"/>
    </row>
    <row r="38" ht="12.75">
      <c r="H38" s="21"/>
    </row>
    <row r="39" ht="12.75">
      <c r="H39" s="21"/>
    </row>
    <row r="41" spans="4:10" ht="15.75">
      <c r="D41" s="180" t="s">
        <v>49</v>
      </c>
      <c r="E41" s="181"/>
      <c r="F41" s="181"/>
      <c r="G41" s="188"/>
      <c r="H41" s="14"/>
      <c r="I41" s="15"/>
      <c r="J41" s="15"/>
    </row>
    <row r="42" ht="15.75">
      <c r="G42" s="15"/>
    </row>
    <row r="43" spans="4:8" ht="12.75">
      <c r="D43" s="185" t="s">
        <v>44</v>
      </c>
      <c r="E43" s="185"/>
      <c r="F43" s="165" t="s">
        <v>45</v>
      </c>
      <c r="G43" s="165" t="s">
        <v>46</v>
      </c>
      <c r="H43" s="165" t="s">
        <v>50</v>
      </c>
    </row>
    <row r="44" spans="4:8" ht="12.75">
      <c r="D44" s="186" t="s">
        <v>169</v>
      </c>
      <c r="E44" s="171"/>
      <c r="F44" s="170">
        <v>1</v>
      </c>
      <c r="G44" s="2">
        <f>2200*1.2</f>
        <v>2640</v>
      </c>
      <c r="H44" s="2">
        <f>+F44*G44</f>
        <v>2640</v>
      </c>
    </row>
    <row r="45" spans="4:8" ht="12.75">
      <c r="D45" s="186"/>
      <c r="E45" s="171"/>
      <c r="F45" s="170">
        <v>1500</v>
      </c>
      <c r="G45" s="2">
        <f>0.84*1.2</f>
        <v>1.008</v>
      </c>
      <c r="H45" s="2">
        <f aca="true" t="shared" si="2" ref="H45:H50">+F45*G45</f>
        <v>1512</v>
      </c>
    </row>
    <row r="46" spans="4:8" ht="12.75">
      <c r="D46" s="186"/>
      <c r="E46" s="171"/>
      <c r="F46" s="170">
        <v>3</v>
      </c>
      <c r="G46" s="2">
        <f>47*1.2</f>
        <v>56.4</v>
      </c>
      <c r="H46" s="2">
        <f t="shared" si="2"/>
        <v>169.2</v>
      </c>
    </row>
    <row r="47" spans="4:8" ht="12.75">
      <c r="D47" s="186"/>
      <c r="E47" s="171"/>
      <c r="F47" s="170">
        <v>1350</v>
      </c>
      <c r="G47" s="2">
        <f>1.2*1.2</f>
        <v>1.44</v>
      </c>
      <c r="H47" s="2">
        <f t="shared" si="2"/>
        <v>1944</v>
      </c>
    </row>
    <row r="48" spans="4:8" ht="12.75">
      <c r="D48" s="186"/>
      <c r="E48" s="171"/>
      <c r="F48" s="170">
        <v>1</v>
      </c>
      <c r="G48" s="2">
        <f>633.48*1.2</f>
        <v>760.176</v>
      </c>
      <c r="H48" s="2">
        <f t="shared" si="2"/>
        <v>760.176</v>
      </c>
    </row>
    <row r="49" spans="4:8" ht="12.75">
      <c r="D49" s="186"/>
      <c r="E49" s="171"/>
      <c r="F49" s="170">
        <v>4</v>
      </c>
      <c r="G49" s="2">
        <f>72.97*1.2</f>
        <v>87.564</v>
      </c>
      <c r="H49" s="2">
        <f t="shared" si="2"/>
        <v>350.256</v>
      </c>
    </row>
    <row r="50" spans="4:8" ht="12.75">
      <c r="D50" s="186"/>
      <c r="E50" s="171"/>
      <c r="F50" s="170">
        <v>2</v>
      </c>
      <c r="G50" s="2">
        <f>245.24*1.2</f>
        <v>294.288</v>
      </c>
      <c r="H50" s="2">
        <f t="shared" si="2"/>
        <v>588.576</v>
      </c>
    </row>
    <row r="51" spans="4:8" ht="12.75">
      <c r="D51" s="183" t="s">
        <v>143</v>
      </c>
      <c r="E51" s="183"/>
      <c r="F51" s="10">
        <v>54</v>
      </c>
      <c r="G51" s="2">
        <v>60</v>
      </c>
      <c r="H51" s="2">
        <f>G51*F51</f>
        <v>3240</v>
      </c>
    </row>
    <row r="52" spans="4:8" ht="12.75">
      <c r="D52" s="183" t="s">
        <v>166</v>
      </c>
      <c r="E52" s="183"/>
      <c r="F52" s="10">
        <v>40</v>
      </c>
      <c r="G52" s="2">
        <v>600</v>
      </c>
      <c r="H52" s="2">
        <f>+F52*G52</f>
        <v>24000</v>
      </c>
    </row>
    <row r="53" spans="4:8" ht="12.75">
      <c r="D53" s="1" t="s">
        <v>144</v>
      </c>
      <c r="E53" s="1"/>
      <c r="F53" s="10">
        <v>26</v>
      </c>
      <c r="G53" s="2">
        <v>80</v>
      </c>
      <c r="H53" s="2">
        <f>G53*F53</f>
        <v>2080</v>
      </c>
    </row>
    <row r="54" spans="5:8" ht="12.75">
      <c r="E54" s="187" t="s">
        <v>51</v>
      </c>
      <c r="F54" s="183"/>
      <c r="G54" s="183"/>
      <c r="H54" s="160">
        <f>SUM(H44:H53)</f>
        <v>37284.208</v>
      </c>
    </row>
  </sheetData>
  <sheetProtection/>
  <mergeCells count="27">
    <mergeCell ref="D21:E21"/>
    <mergeCell ref="D22:E22"/>
    <mergeCell ref="D23:E23"/>
    <mergeCell ref="D24:E24"/>
    <mergeCell ref="D44:D50"/>
    <mergeCell ref="E54:G54"/>
    <mergeCell ref="D41:G41"/>
    <mergeCell ref="E28:G28"/>
    <mergeCell ref="D43:E43"/>
    <mergeCell ref="D51:E51"/>
    <mergeCell ref="D19:E19"/>
    <mergeCell ref="D52:E52"/>
    <mergeCell ref="C4:E4"/>
    <mergeCell ref="D10:E10"/>
    <mergeCell ref="D12:E12"/>
    <mergeCell ref="D11:E11"/>
    <mergeCell ref="D9:E9"/>
    <mergeCell ref="D25:E25"/>
    <mergeCell ref="D26:E26"/>
    <mergeCell ref="D20:E20"/>
    <mergeCell ref="D7:E7"/>
    <mergeCell ref="D13:E13"/>
    <mergeCell ref="D15:E15"/>
    <mergeCell ref="D16:E16"/>
    <mergeCell ref="D18:E18"/>
    <mergeCell ref="D14:E14"/>
    <mergeCell ref="D17:E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2"/>
  <sheetViews>
    <sheetView zoomScale="130" zoomScaleNormal="130" zoomScalePageLayoutView="0" workbookViewId="0" topLeftCell="A1">
      <selection activeCell="B17" sqref="B17:C17"/>
    </sheetView>
  </sheetViews>
  <sheetFormatPr defaultColWidth="11.421875" defaultRowHeight="12.75"/>
  <cols>
    <col min="2" max="2" width="25.00390625" style="0" customWidth="1"/>
  </cols>
  <sheetData>
    <row r="3" spans="2:8" ht="24.75">
      <c r="B3" s="16" t="s">
        <v>52</v>
      </c>
      <c r="C3" s="17"/>
      <c r="D3" s="18"/>
      <c r="E3" s="19"/>
      <c r="F3" s="19"/>
      <c r="G3" s="19"/>
      <c r="H3" s="20"/>
    </row>
    <row r="4" spans="2:8" ht="12.75">
      <c r="B4" s="20"/>
      <c r="C4" s="20"/>
      <c r="D4" s="20"/>
      <c r="E4" s="20"/>
      <c r="F4" s="20"/>
      <c r="G4" s="20"/>
      <c r="H4" s="20"/>
    </row>
    <row r="7" spans="3:7" ht="12.75">
      <c r="C7" s="166" t="s">
        <v>4</v>
      </c>
      <c r="D7" s="166" t="s">
        <v>5</v>
      </c>
      <c r="E7" s="166" t="s">
        <v>6</v>
      </c>
      <c r="F7" s="166" t="s">
        <v>7</v>
      </c>
      <c r="G7" s="166" t="s">
        <v>8</v>
      </c>
    </row>
    <row r="8" spans="2:7" ht="12.75">
      <c r="B8" s="23" t="s">
        <v>140</v>
      </c>
      <c r="C8" s="1">
        <f>1500*12</f>
        <v>18000</v>
      </c>
      <c r="D8" s="1">
        <f>1500*12</f>
        <v>18000</v>
      </c>
      <c r="E8" s="1">
        <f>1500*12</f>
        <v>18000</v>
      </c>
      <c r="F8" s="1">
        <f>1500*12</f>
        <v>18000</v>
      </c>
      <c r="G8" s="1">
        <f>1500*12</f>
        <v>18000</v>
      </c>
    </row>
    <row r="9" spans="2:7" ht="12.75">
      <c r="B9" s="23" t="s">
        <v>139</v>
      </c>
      <c r="C9" s="1">
        <f>7000*12</f>
        <v>84000</v>
      </c>
      <c r="D9" s="1">
        <f>C9</f>
        <v>84000</v>
      </c>
      <c r="E9" s="1">
        <f>C9</f>
        <v>84000</v>
      </c>
      <c r="F9" s="1">
        <f>(C9*1.1)</f>
        <v>92400.00000000001</v>
      </c>
      <c r="G9" s="1">
        <f>F9</f>
        <v>92400.00000000001</v>
      </c>
    </row>
    <row r="10" spans="2:7" ht="12.75">
      <c r="B10" s="23" t="s">
        <v>138</v>
      </c>
      <c r="C10" s="1">
        <f>120*12</f>
        <v>1440</v>
      </c>
      <c r="D10" s="1">
        <f>120*12</f>
        <v>1440</v>
      </c>
      <c r="E10" s="1">
        <f>120*12</f>
        <v>1440</v>
      </c>
      <c r="F10" s="1">
        <f>120*12</f>
        <v>1440</v>
      </c>
      <c r="G10" s="1">
        <f>120*12</f>
        <v>1440</v>
      </c>
    </row>
    <row r="11" spans="2:7" ht="12.75">
      <c r="B11" s="23" t="s">
        <v>164</v>
      </c>
      <c r="C11" s="1">
        <v>24360</v>
      </c>
      <c r="D11" s="1">
        <v>8000</v>
      </c>
      <c r="E11" s="1">
        <v>5000</v>
      </c>
      <c r="F11" s="1">
        <v>1500</v>
      </c>
      <c r="G11" s="1">
        <v>1500</v>
      </c>
    </row>
    <row r="12" spans="2:7" ht="12.75">
      <c r="B12" s="23" t="s">
        <v>172</v>
      </c>
      <c r="C12" s="1">
        <v>8000</v>
      </c>
      <c r="D12" s="1">
        <v>8000</v>
      </c>
      <c r="E12" s="1">
        <v>8000</v>
      </c>
      <c r="F12" s="1">
        <v>7500</v>
      </c>
      <c r="G12" s="1">
        <v>7500</v>
      </c>
    </row>
    <row r="13" spans="2:7" ht="12.75">
      <c r="B13" s="23" t="s">
        <v>19</v>
      </c>
      <c r="C13" s="1">
        <f>500*12</f>
        <v>6000</v>
      </c>
      <c r="D13" s="1">
        <f>500*12</f>
        <v>6000</v>
      </c>
      <c r="E13" s="1">
        <f>500*12</f>
        <v>6000</v>
      </c>
      <c r="F13" s="1">
        <f>500*12</f>
        <v>6000</v>
      </c>
      <c r="G13" s="1">
        <f>500*12</f>
        <v>6000</v>
      </c>
    </row>
    <row r="14" spans="3:7" ht="12.75">
      <c r="C14" s="1">
        <f>SUM(C8:C13)</f>
        <v>141800</v>
      </c>
      <c r="D14" s="1">
        <f>SUM(D8:D13)</f>
        <v>125440</v>
      </c>
      <c r="E14" s="1">
        <f>SUM(E8:E13)</f>
        <v>122440</v>
      </c>
      <c r="F14" s="1">
        <f>SUM(F8:F13)</f>
        <v>126840.00000000001</v>
      </c>
      <c r="G14" s="1">
        <f>SUM(G8:G13)</f>
        <v>126840.00000000001</v>
      </c>
    </row>
    <row r="15" ht="12.75" customHeight="1"/>
    <row r="16" ht="12.75" customHeight="1"/>
    <row r="17" spans="2:9" ht="22.5">
      <c r="B17" s="191" t="s">
        <v>53</v>
      </c>
      <c r="C17" s="192"/>
      <c r="D17" s="167" t="s">
        <v>54</v>
      </c>
      <c r="E17" s="163" t="s">
        <v>4</v>
      </c>
      <c r="F17" s="163" t="s">
        <v>5</v>
      </c>
      <c r="G17" s="163" t="s">
        <v>6</v>
      </c>
      <c r="H17" s="163" t="s">
        <v>7</v>
      </c>
      <c r="I17" s="163" t="s">
        <v>8</v>
      </c>
    </row>
    <row r="18" spans="2:9" ht="12.75">
      <c r="B18" s="193" t="s">
        <v>55</v>
      </c>
      <c r="C18" s="193"/>
      <c r="D18" s="10">
        <v>1</v>
      </c>
      <c r="E18" s="1">
        <f>3000*12</f>
        <v>36000</v>
      </c>
      <c r="F18" s="1">
        <f>3000*12</f>
        <v>36000</v>
      </c>
      <c r="G18" s="1">
        <f>3000*12</f>
        <v>36000</v>
      </c>
      <c r="H18" s="1">
        <f>3000*12</f>
        <v>36000</v>
      </c>
      <c r="I18" s="1">
        <f>3000*12</f>
        <v>36000</v>
      </c>
    </row>
    <row r="19" spans="2:9" ht="12.75">
      <c r="B19" s="193" t="s">
        <v>147</v>
      </c>
      <c r="C19" s="193"/>
      <c r="D19" s="10">
        <v>1</v>
      </c>
      <c r="E19" s="1">
        <f>3000*12*D19</f>
        <v>36000</v>
      </c>
      <c r="F19" s="1">
        <f>3000*D19*12</f>
        <v>36000</v>
      </c>
      <c r="G19" s="1">
        <f>3000*D19*12</f>
        <v>36000</v>
      </c>
      <c r="H19" s="1">
        <f>3000*D19*12</f>
        <v>36000</v>
      </c>
      <c r="I19" s="1">
        <f>3000*D19*12</f>
        <v>36000</v>
      </c>
    </row>
    <row r="20" spans="2:9" ht="12.75">
      <c r="B20" s="193" t="s">
        <v>148</v>
      </c>
      <c r="C20" s="193"/>
      <c r="D20" s="10">
        <v>1</v>
      </c>
      <c r="E20" s="1">
        <f>2500*12*D20</f>
        <v>30000</v>
      </c>
      <c r="F20" s="1">
        <v>30000</v>
      </c>
      <c r="G20" s="1">
        <v>30000</v>
      </c>
      <c r="H20" s="1">
        <v>30000</v>
      </c>
      <c r="I20" s="1">
        <v>30000</v>
      </c>
    </row>
    <row r="21" spans="2:9" ht="12.75">
      <c r="B21" s="193" t="s">
        <v>149</v>
      </c>
      <c r="C21" s="193"/>
      <c r="D21" s="10">
        <v>2</v>
      </c>
      <c r="E21" s="1">
        <f>1500*12*D21</f>
        <v>36000</v>
      </c>
      <c r="F21" s="1">
        <f>1500*12*D21</f>
        <v>36000</v>
      </c>
      <c r="G21" s="1">
        <f>1500*12*D21</f>
        <v>36000</v>
      </c>
      <c r="H21" s="1">
        <f>1500*12*D21</f>
        <v>36000</v>
      </c>
      <c r="I21" s="1">
        <f>1500*12*D21</f>
        <v>36000</v>
      </c>
    </row>
    <row r="22" spans="3:9" ht="12.75">
      <c r="C22" s="190" t="s">
        <v>48</v>
      </c>
      <c r="D22" s="187"/>
      <c r="E22" s="22">
        <f>SUM(E18:E21)</f>
        <v>138000</v>
      </c>
      <c r="F22" s="22">
        <f>SUM(F18:F21)</f>
        <v>138000</v>
      </c>
      <c r="G22" s="22">
        <f>SUM(G18:G21)</f>
        <v>138000</v>
      </c>
      <c r="H22" s="22">
        <f>SUM(H18:H21)</f>
        <v>138000</v>
      </c>
      <c r="I22" s="22">
        <f>SUM(I18:I21)</f>
        <v>138000</v>
      </c>
    </row>
  </sheetData>
  <sheetProtection/>
  <mergeCells count="6">
    <mergeCell ref="C22:D22"/>
    <mergeCell ref="B17:C17"/>
    <mergeCell ref="B18:C18"/>
    <mergeCell ref="B19:C19"/>
    <mergeCell ref="B21:C21"/>
    <mergeCell ref="B20:C2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14"/>
  <sheetViews>
    <sheetView zoomScalePageLayoutView="0" workbookViewId="0" topLeftCell="A1">
      <selection activeCell="F7" sqref="F7"/>
    </sheetView>
  </sheetViews>
  <sheetFormatPr defaultColWidth="11.421875" defaultRowHeight="12.75"/>
  <cols>
    <col min="5" max="6" width="11.57421875" style="0" bestFit="1" customWidth="1"/>
    <col min="7" max="7" width="11.140625" style="0" bestFit="1" customWidth="1"/>
    <col min="10" max="10" width="13.8515625" style="0" bestFit="1" customWidth="1"/>
  </cols>
  <sheetData>
    <row r="4" spans="2:3" ht="18">
      <c r="B4" s="162" t="s">
        <v>146</v>
      </c>
      <c r="C4" s="51"/>
    </row>
    <row r="6" spans="1:6" ht="20.25">
      <c r="A6" s="47"/>
      <c r="B6" s="194" t="s">
        <v>90</v>
      </c>
      <c r="C6" s="195"/>
      <c r="D6" s="195"/>
      <c r="E6" s="196"/>
      <c r="F6" s="120">
        <f>MATERIEL!H54/4</f>
        <v>9321.052</v>
      </c>
    </row>
    <row r="7" spans="2:6" ht="20.25">
      <c r="B7" s="194" t="s">
        <v>91</v>
      </c>
      <c r="C7" s="195"/>
      <c r="D7" s="195"/>
      <c r="E7" s="196"/>
      <c r="F7" s="120">
        <f>'autres charges externes '!C13/4</f>
        <v>1500</v>
      </c>
    </row>
    <row r="8" spans="2:6" ht="20.25">
      <c r="B8" s="194" t="s">
        <v>145</v>
      </c>
      <c r="C8" s="195"/>
      <c r="D8" s="195"/>
      <c r="E8" s="196"/>
      <c r="F8" s="120">
        <f>'autres charges externes '!C9/4</f>
        <v>21000</v>
      </c>
    </row>
    <row r="9" spans="2:6" ht="20.25">
      <c r="B9" s="194" t="s">
        <v>92</v>
      </c>
      <c r="C9" s="195"/>
      <c r="D9" s="195"/>
      <c r="E9" s="196"/>
      <c r="F9" s="120">
        <f>'autres charges externes '!E22/4</f>
        <v>34500</v>
      </c>
    </row>
    <row r="10" spans="2:6" ht="20.25">
      <c r="B10" s="194" t="s">
        <v>165</v>
      </c>
      <c r="C10" s="195"/>
      <c r="D10" s="195"/>
      <c r="E10" s="196"/>
      <c r="F10" s="120">
        <f>'autres charges externes '!C11/4</f>
        <v>6090</v>
      </c>
    </row>
    <row r="11" spans="2:6" ht="20.25">
      <c r="B11" s="122" t="s">
        <v>93</v>
      </c>
      <c r="C11" s="1"/>
      <c r="D11" s="1"/>
      <c r="E11" s="122"/>
      <c r="F11" s="120">
        <f>'autres charges externes '!C8/4</f>
        <v>4500</v>
      </c>
    </row>
    <row r="12" spans="2:6" ht="20.25">
      <c r="B12" s="194" t="s">
        <v>94</v>
      </c>
      <c r="C12" s="195"/>
      <c r="D12" s="195"/>
      <c r="E12" s="196"/>
      <c r="F12" s="120">
        <v>1000</v>
      </c>
    </row>
    <row r="13" spans="2:6" ht="20.25">
      <c r="B13" s="194" t="s">
        <v>95</v>
      </c>
      <c r="C13" s="195"/>
      <c r="D13" s="195"/>
      <c r="E13" s="196"/>
      <c r="F13" s="120">
        <f>'autres charges externes '!C10/4</f>
        <v>360</v>
      </c>
    </row>
    <row r="14" spans="2:6" ht="20.25">
      <c r="B14" s="197" t="s">
        <v>48</v>
      </c>
      <c r="C14" s="197"/>
      <c r="D14" s="197"/>
      <c r="E14" s="197"/>
      <c r="F14" s="123">
        <f>SUM(F6:F13)</f>
        <v>78271.052</v>
      </c>
    </row>
  </sheetData>
  <sheetProtection/>
  <mergeCells count="8">
    <mergeCell ref="B7:E7"/>
    <mergeCell ref="B6:E6"/>
    <mergeCell ref="B14:E14"/>
    <mergeCell ref="B9:E9"/>
    <mergeCell ref="B8:E8"/>
    <mergeCell ref="B12:E12"/>
    <mergeCell ref="B13:E13"/>
    <mergeCell ref="B10:E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G14"/>
  <sheetViews>
    <sheetView zoomScalePageLayoutView="0" workbookViewId="0" topLeftCell="A1">
      <selection activeCell="E11" sqref="E11"/>
    </sheetView>
  </sheetViews>
  <sheetFormatPr defaultColWidth="11.421875" defaultRowHeight="12.75"/>
  <cols>
    <col min="5" max="5" width="16.7109375" style="0" customWidth="1"/>
    <col min="6" max="6" width="16.28125" style="0" customWidth="1"/>
  </cols>
  <sheetData>
    <row r="5" spans="2:7" ht="39.75" customHeight="1">
      <c r="B5" s="198" t="s">
        <v>130</v>
      </c>
      <c r="C5" s="198"/>
      <c r="D5" s="198"/>
      <c r="E5" s="198"/>
      <c r="F5" s="198"/>
      <c r="G5" s="127"/>
    </row>
    <row r="6" spans="2:6" ht="39.75" customHeight="1">
      <c r="B6" s="231"/>
      <c r="C6" s="231"/>
      <c r="D6" s="231"/>
      <c r="E6" s="232"/>
      <c r="F6" s="232"/>
    </row>
    <row r="7" spans="2:6" ht="39.75" customHeight="1">
      <c r="B7" s="231"/>
      <c r="C7" s="231"/>
      <c r="D7" s="231"/>
      <c r="E7" s="233" t="s">
        <v>131</v>
      </c>
      <c r="F7" s="234" t="s">
        <v>133</v>
      </c>
    </row>
    <row r="8" spans="2:6" ht="39.75" customHeight="1">
      <c r="B8" s="235"/>
      <c r="C8" s="235"/>
      <c r="D8" s="235"/>
      <c r="E8" s="233" t="s">
        <v>132</v>
      </c>
      <c r="F8" s="234" t="s">
        <v>134</v>
      </c>
    </row>
    <row r="9" spans="2:6" ht="39.75" customHeight="1">
      <c r="B9" s="236" t="s">
        <v>63</v>
      </c>
      <c r="C9" s="236"/>
      <c r="D9" s="236"/>
      <c r="E9" s="241">
        <f>BILAN!E10</f>
        <v>50000</v>
      </c>
      <c r="F9" s="237">
        <f>E9/E12</f>
        <v>0.12955738104439013</v>
      </c>
    </row>
    <row r="10" spans="2:6" ht="39.75" customHeight="1">
      <c r="B10" s="238" t="s">
        <v>135</v>
      </c>
      <c r="C10" s="238"/>
      <c r="D10" s="238"/>
      <c r="E10" s="241">
        <f>BILAN!E17</f>
        <v>305929.382</v>
      </c>
      <c r="F10" s="237">
        <f>E10/E12</f>
        <v>0.7927081903289758</v>
      </c>
    </row>
    <row r="11" spans="2:6" ht="39.75" customHeight="1">
      <c r="B11" s="236" t="s">
        <v>136</v>
      </c>
      <c r="C11" s="236"/>
      <c r="D11" s="236"/>
      <c r="E11" s="241">
        <f>BILAN!E18</f>
        <v>30000</v>
      </c>
      <c r="F11" s="237">
        <f>+E11/E12</f>
        <v>0.07773442862663409</v>
      </c>
    </row>
    <row r="12" spans="2:6" ht="39.75" customHeight="1">
      <c r="B12" s="239" t="s">
        <v>56</v>
      </c>
      <c r="C12" s="239"/>
      <c r="D12" s="239"/>
      <c r="E12" s="240">
        <f>SUM(E9:E11)</f>
        <v>385929.382</v>
      </c>
      <c r="F12" s="237">
        <f>E12/E12</f>
        <v>1</v>
      </c>
    </row>
    <row r="13" spans="2:7" ht="15.75">
      <c r="B13" s="124"/>
      <c r="C13" s="125"/>
      <c r="D13" s="125"/>
      <c r="E13" s="199"/>
      <c r="F13" s="199"/>
      <c r="G13" s="125"/>
    </row>
    <row r="14" spans="2:7" ht="15.75">
      <c r="B14" s="124"/>
      <c r="C14" s="125"/>
      <c r="D14" s="125"/>
      <c r="E14" s="199"/>
      <c r="F14" s="199"/>
      <c r="G14" s="125"/>
    </row>
  </sheetData>
  <sheetProtection/>
  <mergeCells count="8">
    <mergeCell ref="B5:F5"/>
    <mergeCell ref="E13:F13"/>
    <mergeCell ref="E14:F14"/>
    <mergeCell ref="B9:D9"/>
    <mergeCell ref="B12:D12"/>
    <mergeCell ref="B11:D11"/>
    <mergeCell ref="B6:D8"/>
    <mergeCell ref="E6:F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4"/>
  <sheetViews>
    <sheetView zoomScalePageLayoutView="0" workbookViewId="0" topLeftCell="A1">
      <selection activeCell="G45" sqref="G45"/>
    </sheetView>
  </sheetViews>
  <sheetFormatPr defaultColWidth="11.421875" defaultRowHeight="12.75"/>
  <cols>
    <col min="1" max="1" width="5.28125" style="0" customWidth="1"/>
    <col min="2" max="2" width="30.57421875" style="0" customWidth="1"/>
    <col min="3" max="3" width="13.421875" style="0" customWidth="1"/>
    <col min="4" max="4" width="12.140625" style="0" customWidth="1"/>
    <col min="5" max="5" width="13.7109375" style="0" customWidth="1"/>
    <col min="6" max="7" width="13.8515625" style="0" customWidth="1"/>
    <col min="8" max="8" width="12.28125" style="0" customWidth="1"/>
    <col min="9" max="9" width="13.57421875" style="0" customWidth="1"/>
  </cols>
  <sheetData>
    <row r="4" spans="2:9" ht="23.25">
      <c r="B4" s="37" t="s">
        <v>79</v>
      </c>
      <c r="C4" s="26"/>
      <c r="D4" s="26"/>
      <c r="E4" s="26"/>
      <c r="F4" s="26"/>
      <c r="G4" s="26"/>
      <c r="H4" s="25"/>
      <c r="I4" s="25"/>
    </row>
    <row r="5" spans="2:9" ht="12.75">
      <c r="B5" s="38" t="s">
        <v>80</v>
      </c>
      <c r="C5" s="39" t="s">
        <v>81</v>
      </c>
      <c r="D5" s="40" t="s">
        <v>82</v>
      </c>
      <c r="E5" s="200" t="s">
        <v>83</v>
      </c>
      <c r="F5" s="201"/>
      <c r="G5" s="201"/>
      <c r="H5" s="201"/>
      <c r="I5" s="202"/>
    </row>
    <row r="6" spans="2:9" ht="12.75">
      <c r="B6" s="41"/>
      <c r="C6" s="41"/>
      <c r="D6" s="39" t="s">
        <v>84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</row>
    <row r="7" spans="2:9" ht="12.75">
      <c r="B7" s="42" t="s">
        <v>62</v>
      </c>
      <c r="C7" s="43">
        <v>0.2</v>
      </c>
      <c r="D7" s="133">
        <f>+BILAN!C10</f>
        <v>8000</v>
      </c>
      <c r="E7" s="133">
        <f>D7*C7</f>
        <v>1600</v>
      </c>
      <c r="F7" s="133">
        <f>D7*C7</f>
        <v>1600</v>
      </c>
      <c r="G7" s="133">
        <f>D7*C7</f>
        <v>1600</v>
      </c>
      <c r="H7" s="134">
        <f>+D7*C7</f>
        <v>1600</v>
      </c>
      <c r="I7" s="134">
        <f>+D7*C7</f>
        <v>1600</v>
      </c>
    </row>
    <row r="8" spans="2:9" ht="12.75">
      <c r="B8" s="42" t="s">
        <v>85</v>
      </c>
      <c r="C8" s="43">
        <v>0.05</v>
      </c>
      <c r="D8" s="133"/>
      <c r="E8" s="133"/>
      <c r="F8" s="133"/>
      <c r="G8" s="133"/>
      <c r="H8" s="134"/>
      <c r="I8" s="134"/>
    </row>
    <row r="9" spans="2:9" ht="12.75">
      <c r="B9" s="42" t="s">
        <v>86</v>
      </c>
      <c r="C9" s="43">
        <v>0.1</v>
      </c>
      <c r="D9" s="133">
        <f>+BILAN!C16</f>
        <v>30000</v>
      </c>
      <c r="E9" s="133">
        <f>+D9*C9</f>
        <v>3000</v>
      </c>
      <c r="F9" s="133">
        <f>+D9*C9</f>
        <v>3000</v>
      </c>
      <c r="G9" s="133">
        <f>+D9*C9</f>
        <v>3000</v>
      </c>
      <c r="H9" s="133">
        <f>+D9*C9</f>
        <v>3000</v>
      </c>
      <c r="I9" s="133">
        <f>+D9*C9</f>
        <v>3000</v>
      </c>
    </row>
    <row r="10" spans="2:9" ht="12.75">
      <c r="B10" s="42" t="s">
        <v>87</v>
      </c>
      <c r="C10" s="43">
        <v>0.2</v>
      </c>
      <c r="D10" s="133">
        <f>+BILAN!C18</f>
        <v>256658.33</v>
      </c>
      <c r="E10" s="133">
        <f>+D10*C10</f>
        <v>51331.666</v>
      </c>
      <c r="F10" s="133">
        <f>D10*C10</f>
        <v>51331.666</v>
      </c>
      <c r="G10" s="133">
        <f>D10*C10</f>
        <v>51331.666</v>
      </c>
      <c r="H10" s="133">
        <f>D10*C10</f>
        <v>51331.666</v>
      </c>
      <c r="I10" s="133">
        <f>D10*C10</f>
        <v>51331.666</v>
      </c>
    </row>
    <row r="11" spans="2:9" ht="12.75">
      <c r="B11" s="42" t="s">
        <v>74</v>
      </c>
      <c r="C11" s="43">
        <v>0.2</v>
      </c>
      <c r="D11" s="133"/>
      <c r="E11" s="133"/>
      <c r="F11" s="133"/>
      <c r="G11" s="133"/>
      <c r="H11" s="133"/>
      <c r="I11" s="133"/>
    </row>
    <row r="12" spans="2:9" ht="12.75">
      <c r="B12" s="42" t="s">
        <v>88</v>
      </c>
      <c r="C12" s="43">
        <v>0.1</v>
      </c>
      <c r="D12" s="133">
        <f>MATERIEL!H34</f>
        <v>8000</v>
      </c>
      <c r="E12" s="133">
        <f>+D12*C12</f>
        <v>800</v>
      </c>
      <c r="F12" s="133">
        <f>D12*C12</f>
        <v>800</v>
      </c>
      <c r="G12" s="133">
        <f>D12*C12</f>
        <v>800</v>
      </c>
      <c r="H12" s="133">
        <f>D12*C12</f>
        <v>800</v>
      </c>
      <c r="I12" s="133">
        <f>D12*C12</f>
        <v>800</v>
      </c>
    </row>
    <row r="13" spans="2:9" ht="13.5" thickBot="1">
      <c r="B13" s="44"/>
      <c r="C13" s="45"/>
      <c r="D13" s="46"/>
      <c r="E13" s="135"/>
      <c r="F13" s="135"/>
      <c r="G13" s="136"/>
      <c r="H13" s="137"/>
      <c r="I13" s="137"/>
    </row>
    <row r="14" spans="2:9" ht="13.5" thickTop="1">
      <c r="B14" s="203" t="s">
        <v>89</v>
      </c>
      <c r="C14" s="204"/>
      <c r="D14" s="205"/>
      <c r="E14" s="168">
        <f>SUM(E7:E12)</f>
        <v>56731.666</v>
      </c>
      <c r="F14" s="168">
        <f>SUM(F7:F12)</f>
        <v>56731.666</v>
      </c>
      <c r="G14" s="168">
        <f>SUM(G7:G12)</f>
        <v>56731.666</v>
      </c>
      <c r="H14" s="168">
        <f>SUM(H7:H12)</f>
        <v>56731.666</v>
      </c>
      <c r="I14" s="168">
        <f>SUM(I7:I12)</f>
        <v>56731.666</v>
      </c>
    </row>
  </sheetData>
  <sheetProtection/>
  <mergeCells count="2">
    <mergeCell ref="E5:I5"/>
    <mergeCell ref="B14:D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2" width="11.57421875" style="0" bestFit="1" customWidth="1"/>
    <col min="3" max="3" width="10.140625" style="0" customWidth="1"/>
    <col min="4" max="4" width="11.57421875" style="0" bestFit="1" customWidth="1"/>
    <col min="5" max="5" width="12.00390625" style="0" bestFit="1" customWidth="1"/>
    <col min="6" max="6" width="11.28125" style="0" customWidth="1"/>
    <col min="7" max="8" width="11.57421875" style="0" bestFit="1" customWidth="1"/>
    <col min="9" max="9" width="8.7109375" style="0" customWidth="1"/>
    <col min="10" max="10" width="10.140625" style="0" customWidth="1"/>
    <col min="11" max="11" width="10.8515625" style="0" customWidth="1"/>
  </cols>
  <sheetData>
    <row r="1" spans="1:12" ht="12.75">
      <c r="A1" s="52" t="s">
        <v>96</v>
      </c>
      <c r="C1" s="53"/>
      <c r="E1" s="208"/>
      <c r="F1" s="208"/>
      <c r="G1" s="208"/>
      <c r="H1" s="208"/>
      <c r="I1" s="208"/>
      <c r="J1" s="208"/>
      <c r="K1" s="206"/>
      <c r="L1" s="206"/>
    </row>
    <row r="2" spans="1:12" ht="12.75">
      <c r="A2" s="219"/>
      <c r="B2" s="206"/>
      <c r="C2" s="206"/>
      <c r="D2" s="206"/>
      <c r="E2" s="208"/>
      <c r="F2" s="208"/>
      <c r="G2" s="208"/>
      <c r="H2" s="208"/>
      <c r="I2" s="208"/>
      <c r="J2" s="208"/>
      <c r="K2" s="206"/>
      <c r="L2" s="206"/>
    </row>
    <row r="3" spans="1:15" ht="12.75">
      <c r="A3" s="219"/>
      <c r="B3" s="126" t="s">
        <v>97</v>
      </c>
      <c r="C3" s="138" t="s">
        <v>98</v>
      </c>
      <c r="D3" s="206"/>
      <c r="E3" s="206"/>
      <c r="F3" s="206"/>
      <c r="G3" s="206"/>
      <c r="H3" s="126" t="s">
        <v>97</v>
      </c>
      <c r="I3" s="138" t="s">
        <v>99</v>
      </c>
      <c r="J3" s="206"/>
      <c r="K3" s="206"/>
      <c r="L3" s="206"/>
      <c r="N3" s="206"/>
      <c r="O3" s="206"/>
    </row>
    <row r="4" spans="1:15" ht="12.75">
      <c r="A4" s="220"/>
      <c r="D4" s="218"/>
      <c r="E4" s="206"/>
      <c r="F4" s="206"/>
      <c r="G4" s="218"/>
      <c r="H4" s="218"/>
      <c r="I4" s="218"/>
      <c r="J4" s="218"/>
      <c r="K4" s="206"/>
      <c r="L4" s="206"/>
      <c r="N4" s="206"/>
      <c r="O4" s="206"/>
    </row>
    <row r="5" spans="1:15" ht="12.75">
      <c r="A5" s="215" t="s">
        <v>100</v>
      </c>
      <c r="B5" s="216"/>
      <c r="C5" s="216"/>
      <c r="D5" s="56">
        <f>BILAN!E17</f>
        <v>305929.382</v>
      </c>
      <c r="E5" s="206"/>
      <c r="F5" s="206"/>
      <c r="G5" s="215" t="s">
        <v>100</v>
      </c>
      <c r="H5" s="216"/>
      <c r="I5" s="55"/>
      <c r="J5" s="58">
        <f>BILAN!E18</f>
        <v>30000</v>
      </c>
      <c r="K5" s="206"/>
      <c r="L5" s="206"/>
      <c r="M5" s="57"/>
      <c r="N5" s="206"/>
      <c r="O5" s="206"/>
    </row>
    <row r="6" spans="1:15" ht="12.75">
      <c r="A6" s="215" t="s">
        <v>101</v>
      </c>
      <c r="B6" s="216"/>
      <c r="C6" s="216"/>
      <c r="D6" s="60">
        <v>0.065</v>
      </c>
      <c r="E6" s="206"/>
      <c r="F6" s="206"/>
      <c r="G6" s="54" t="s">
        <v>101</v>
      </c>
      <c r="H6" s="59" t="s">
        <v>102</v>
      </c>
      <c r="I6" s="59"/>
      <c r="J6" s="60">
        <v>0</v>
      </c>
      <c r="K6" s="206"/>
      <c r="L6" s="206"/>
      <c r="N6" s="206"/>
      <c r="O6" s="206"/>
    </row>
    <row r="7" spans="1:15" ht="12.75">
      <c r="A7" s="54" t="s">
        <v>103</v>
      </c>
      <c r="B7" s="55"/>
      <c r="C7" s="55"/>
      <c r="D7" s="61">
        <v>7</v>
      </c>
      <c r="E7" s="206"/>
      <c r="F7" s="206"/>
      <c r="G7" s="215" t="s">
        <v>103</v>
      </c>
      <c r="H7" s="216"/>
      <c r="I7" s="55"/>
      <c r="J7" s="61">
        <v>3</v>
      </c>
      <c r="K7" s="206"/>
      <c r="L7" s="206"/>
      <c r="N7" s="206"/>
      <c r="O7" s="206"/>
    </row>
    <row r="8" spans="1:12" ht="12.75">
      <c r="A8" s="215" t="s">
        <v>104</v>
      </c>
      <c r="B8" s="216"/>
      <c r="C8" s="216"/>
      <c r="D8" s="61">
        <v>24</v>
      </c>
      <c r="E8" s="206"/>
      <c r="F8" s="206"/>
      <c r="G8" s="54" t="s">
        <v>105</v>
      </c>
      <c r="H8" s="62"/>
      <c r="I8" s="62"/>
      <c r="J8" s="61">
        <v>36</v>
      </c>
      <c r="K8" s="206"/>
      <c r="L8" s="206"/>
    </row>
    <row r="9" spans="1:12" ht="12.75">
      <c r="A9" s="209"/>
      <c r="B9" s="209"/>
      <c r="C9" s="209"/>
      <c r="D9" s="209"/>
      <c r="E9" s="206"/>
      <c r="F9" s="206"/>
      <c r="G9" s="209"/>
      <c r="H9" s="209"/>
      <c r="I9" s="209"/>
      <c r="J9" s="209"/>
      <c r="K9" s="206"/>
      <c r="L9" s="206"/>
    </row>
    <row r="10" spans="1:12" ht="12.75">
      <c r="A10" s="210"/>
      <c r="B10" s="210"/>
      <c r="C10" s="210"/>
      <c r="D10" s="210"/>
      <c r="E10" s="206"/>
      <c r="F10" s="206"/>
      <c r="G10" s="210"/>
      <c r="H10" s="210"/>
      <c r="I10" s="210"/>
      <c r="J10" s="210"/>
      <c r="K10" s="206"/>
      <c r="L10" s="206"/>
    </row>
    <row r="11" spans="1:13" ht="12.75">
      <c r="A11" s="63" t="s">
        <v>106</v>
      </c>
      <c r="B11" s="64" t="s">
        <v>107</v>
      </c>
      <c r="C11" s="65"/>
      <c r="D11" s="66">
        <f>PMT(D6,D7,-B20)</f>
        <v>55780.52313249387</v>
      </c>
      <c r="E11" s="206"/>
      <c r="F11" s="206"/>
      <c r="G11" s="63" t="s">
        <v>106</v>
      </c>
      <c r="H11" s="139" t="s">
        <v>107</v>
      </c>
      <c r="I11" s="140"/>
      <c r="J11" s="141">
        <v>5000</v>
      </c>
      <c r="K11" s="206"/>
      <c r="L11" s="206"/>
      <c r="M11" s="67"/>
    </row>
    <row r="12" spans="1:13" ht="12.75">
      <c r="A12" s="68"/>
      <c r="B12" s="64" t="s">
        <v>108</v>
      </c>
      <c r="C12" s="69"/>
      <c r="D12" s="66">
        <f>D11/12</f>
        <v>4648.376927707823</v>
      </c>
      <c r="E12" s="206"/>
      <c r="F12" s="206"/>
      <c r="G12" s="217"/>
      <c r="H12" s="139" t="s">
        <v>108</v>
      </c>
      <c r="I12" s="142"/>
      <c r="J12" s="141">
        <f>J11/12</f>
        <v>416.6666666666667</v>
      </c>
      <c r="K12" s="206"/>
      <c r="L12" s="206"/>
      <c r="M12" s="67"/>
    </row>
    <row r="13" spans="1:13" ht="12.75">
      <c r="A13" s="217"/>
      <c r="B13" s="217"/>
      <c r="C13" s="217"/>
      <c r="D13" s="217"/>
      <c r="E13" s="206"/>
      <c r="F13" s="206"/>
      <c r="G13" s="217"/>
      <c r="H13" s="63"/>
      <c r="I13" s="70"/>
      <c r="J13" s="71"/>
      <c r="K13" s="206"/>
      <c r="L13" s="206"/>
      <c r="M13" s="67"/>
    </row>
    <row r="14" spans="1:13" ht="12.75">
      <c r="A14" s="217"/>
      <c r="B14" s="217"/>
      <c r="C14" s="217"/>
      <c r="D14" s="217"/>
      <c r="E14" s="206"/>
      <c r="F14" s="206"/>
      <c r="G14" s="217"/>
      <c r="H14" s="67"/>
      <c r="I14" s="67"/>
      <c r="J14" s="67"/>
      <c r="K14" s="206"/>
      <c r="L14" s="206"/>
      <c r="M14" s="67"/>
    </row>
    <row r="15" spans="1:13" ht="12.75">
      <c r="A15" s="72" t="s">
        <v>109</v>
      </c>
      <c r="B15" s="73"/>
      <c r="C15" s="73"/>
      <c r="D15" s="73"/>
      <c r="E15" s="73"/>
      <c r="F15" s="73"/>
      <c r="G15" s="72" t="s">
        <v>109</v>
      </c>
      <c r="H15" s="73"/>
      <c r="I15" s="73"/>
      <c r="J15" s="73"/>
      <c r="K15" s="73"/>
      <c r="L15" s="73"/>
      <c r="M15" s="73"/>
    </row>
    <row r="16" spans="1:13" ht="13.5" thickBot="1">
      <c r="A16" s="73"/>
      <c r="B16" s="73"/>
      <c r="C16" s="73"/>
      <c r="D16" s="73"/>
      <c r="E16" s="73"/>
      <c r="F16" s="73"/>
      <c r="G16" s="143"/>
      <c r="H16" s="143"/>
      <c r="I16" s="143"/>
      <c r="J16" s="143"/>
      <c r="K16" s="143"/>
      <c r="L16" s="143"/>
      <c r="M16" s="73"/>
    </row>
    <row r="17" spans="1:13" ht="39" thickBot="1">
      <c r="A17" s="74" t="s">
        <v>103</v>
      </c>
      <c r="B17" s="75" t="s">
        <v>110</v>
      </c>
      <c r="C17" s="76" t="s">
        <v>111</v>
      </c>
      <c r="D17" s="76" t="s">
        <v>112</v>
      </c>
      <c r="E17" s="77" t="s">
        <v>113</v>
      </c>
      <c r="F17" s="211"/>
      <c r="G17" s="74" t="s">
        <v>103</v>
      </c>
      <c r="H17" s="75" t="s">
        <v>110</v>
      </c>
      <c r="I17" s="76" t="s">
        <v>111</v>
      </c>
      <c r="J17" s="76" t="s">
        <v>112</v>
      </c>
      <c r="K17" s="77" t="s">
        <v>113</v>
      </c>
      <c r="L17" s="207"/>
      <c r="M17" s="78"/>
    </row>
    <row r="18" spans="1:13" ht="12.75">
      <c r="A18" s="79">
        <v>1</v>
      </c>
      <c r="B18" s="80">
        <f>D5</f>
        <v>305929.382</v>
      </c>
      <c r="C18" s="81">
        <f aca="true" t="shared" si="0" ref="C18:C27">B18*$D$6</f>
        <v>19885.40983</v>
      </c>
      <c r="D18" s="80">
        <v>0</v>
      </c>
      <c r="E18" s="80">
        <v>0</v>
      </c>
      <c r="F18" s="211"/>
      <c r="G18" s="82">
        <v>1</v>
      </c>
      <c r="H18" s="80">
        <f>J5</f>
        <v>30000</v>
      </c>
      <c r="I18" s="80">
        <v>0</v>
      </c>
      <c r="J18" s="80">
        <v>0</v>
      </c>
      <c r="K18" s="83">
        <v>0</v>
      </c>
      <c r="L18" s="207"/>
      <c r="M18" s="84"/>
    </row>
    <row r="19" spans="1:13" ht="12.75">
      <c r="A19" s="81">
        <f aca="true" t="shared" si="1" ref="A19:A27">A18+1</f>
        <v>2</v>
      </c>
      <c r="B19" s="81">
        <f>B18</f>
        <v>305929.382</v>
      </c>
      <c r="C19" s="81">
        <f t="shared" si="0"/>
        <v>19885.40983</v>
      </c>
      <c r="D19" s="81">
        <v>0</v>
      </c>
      <c r="E19" s="81">
        <v>0</v>
      </c>
      <c r="F19" s="211"/>
      <c r="G19" s="85">
        <f>G18+1</f>
        <v>2</v>
      </c>
      <c r="H19" s="81">
        <f>H18+I18</f>
        <v>30000</v>
      </c>
      <c r="I19" s="81">
        <v>0</v>
      </c>
      <c r="J19" s="81">
        <v>0</v>
      </c>
      <c r="K19" s="86">
        <v>0</v>
      </c>
      <c r="L19" s="207"/>
      <c r="M19" s="84"/>
    </row>
    <row r="20" spans="1:13" ht="12.75">
      <c r="A20" s="81">
        <f t="shared" si="1"/>
        <v>3</v>
      </c>
      <c r="B20" s="81">
        <f>B19</f>
        <v>305929.382</v>
      </c>
      <c r="C20" s="81">
        <f t="shared" si="0"/>
        <v>19885.40983</v>
      </c>
      <c r="D20" s="81">
        <f aca="true" t="shared" si="2" ref="D20:D27">E20-C20</f>
        <v>35895.113302493875</v>
      </c>
      <c r="E20" s="81">
        <f aca="true" t="shared" si="3" ref="E20:E27">IF(B20&lt;1,0,$D$11)</f>
        <v>55780.52313249387</v>
      </c>
      <c r="F20" s="211"/>
      <c r="G20" s="85">
        <f>G19+1</f>
        <v>3</v>
      </c>
      <c r="H20" s="81">
        <f>H19+I19</f>
        <v>30000</v>
      </c>
      <c r="I20" s="81">
        <v>0</v>
      </c>
      <c r="J20" s="81">
        <v>0</v>
      </c>
      <c r="K20" s="86">
        <v>0</v>
      </c>
      <c r="L20" s="207"/>
      <c r="M20" s="84"/>
    </row>
    <row r="21" spans="1:13" ht="12.75">
      <c r="A21" s="81">
        <f t="shared" si="1"/>
        <v>4</v>
      </c>
      <c r="B21" s="81">
        <f aca="true" t="shared" si="4" ref="B21:B27">B20-D20</f>
        <v>270034.2686975061</v>
      </c>
      <c r="C21" s="81">
        <f t="shared" si="0"/>
        <v>17552.2274653379</v>
      </c>
      <c r="D21" s="81">
        <f t="shared" si="2"/>
        <v>38228.29566715597</v>
      </c>
      <c r="E21" s="81">
        <f t="shared" si="3"/>
        <v>55780.52313249387</v>
      </c>
      <c r="F21" s="211"/>
      <c r="G21" s="85">
        <f>G20+1</f>
        <v>4</v>
      </c>
      <c r="H21" s="81">
        <f>H20-J20</f>
        <v>30000</v>
      </c>
      <c r="I21" s="81">
        <f>H21*$J$6</f>
        <v>0</v>
      </c>
      <c r="J21" s="81">
        <f>H21/3</f>
        <v>10000</v>
      </c>
      <c r="K21" s="86">
        <f>J21</f>
        <v>10000</v>
      </c>
      <c r="L21" s="207"/>
      <c r="M21" s="84"/>
    </row>
    <row r="22" spans="1:13" ht="12.75">
      <c r="A22" s="81">
        <f t="shared" si="1"/>
        <v>5</v>
      </c>
      <c r="B22" s="81">
        <f t="shared" si="4"/>
        <v>231805.97303035014</v>
      </c>
      <c r="C22" s="81">
        <f t="shared" si="0"/>
        <v>15067.38824697276</v>
      </c>
      <c r="D22" s="81">
        <f t="shared" si="2"/>
        <v>40713.13488552111</v>
      </c>
      <c r="E22" s="81">
        <f t="shared" si="3"/>
        <v>55780.52313249387</v>
      </c>
      <c r="F22" s="211"/>
      <c r="G22" s="85">
        <f>G21+1</f>
        <v>5</v>
      </c>
      <c r="H22" s="81">
        <f>H21-J21</f>
        <v>20000</v>
      </c>
      <c r="I22" s="81">
        <f>H22*$J$6</f>
        <v>0</v>
      </c>
      <c r="J22" s="81">
        <f>H21-H22</f>
        <v>10000</v>
      </c>
      <c r="K22" s="86">
        <f>J22</f>
        <v>10000</v>
      </c>
      <c r="L22" s="207"/>
      <c r="M22" s="84"/>
    </row>
    <row r="23" spans="1:13" ht="12.75">
      <c r="A23" s="81">
        <f t="shared" si="1"/>
        <v>6</v>
      </c>
      <c r="B23" s="81">
        <f t="shared" si="4"/>
        <v>191092.83814482903</v>
      </c>
      <c r="C23" s="81">
        <f t="shared" si="0"/>
        <v>12421.034479413887</v>
      </c>
      <c r="D23" s="81">
        <f t="shared" si="2"/>
        <v>43359.488653079985</v>
      </c>
      <c r="E23" s="81">
        <f t="shared" si="3"/>
        <v>55780.52313249387</v>
      </c>
      <c r="F23" s="211"/>
      <c r="G23" s="81">
        <f>G22+1</f>
        <v>6</v>
      </c>
      <c r="H23" s="81">
        <f>H22-J22</f>
        <v>10000</v>
      </c>
      <c r="I23" s="87">
        <f>H23*$J$6</f>
        <v>0</v>
      </c>
      <c r="J23" s="87">
        <f>H22-H23</f>
        <v>10000</v>
      </c>
      <c r="K23" s="86">
        <f>J23</f>
        <v>10000</v>
      </c>
      <c r="L23" s="207"/>
      <c r="M23" s="84"/>
    </row>
    <row r="24" spans="1:13" ht="12.75">
      <c r="A24" s="81">
        <f>A23+1</f>
        <v>7</v>
      </c>
      <c r="B24" s="81">
        <f>B23-D23</f>
        <v>147733.34949174905</v>
      </c>
      <c r="C24" s="81">
        <f t="shared" si="0"/>
        <v>9602.667716963688</v>
      </c>
      <c r="D24" s="81">
        <f t="shared" si="2"/>
        <v>46177.85541553018</v>
      </c>
      <c r="E24" s="81">
        <f t="shared" si="3"/>
        <v>55780.52313249387</v>
      </c>
      <c r="F24" s="211"/>
      <c r="G24" s="146" t="s">
        <v>48</v>
      </c>
      <c r="H24" s="147"/>
      <c r="I24" s="148">
        <f>SUM(I18:I23)</f>
        <v>0</v>
      </c>
      <c r="J24" s="148">
        <f>SUM(J18:J23)</f>
        <v>30000</v>
      </c>
      <c r="K24" s="148">
        <f>SUM(K18:K23)</f>
        <v>30000</v>
      </c>
      <c r="L24" s="207"/>
      <c r="M24" s="84"/>
    </row>
    <row r="25" spans="1:13" ht="12.75">
      <c r="A25" s="81">
        <f t="shared" si="1"/>
        <v>8</v>
      </c>
      <c r="B25" s="81">
        <f t="shared" si="4"/>
        <v>101555.49407621886</v>
      </c>
      <c r="C25" s="81">
        <f t="shared" si="0"/>
        <v>6601.107114954227</v>
      </c>
      <c r="D25" s="81">
        <f t="shared" si="2"/>
        <v>49179.41601753965</v>
      </c>
      <c r="E25" s="81">
        <f t="shared" si="3"/>
        <v>55780.52313249387</v>
      </c>
      <c r="F25" s="211"/>
      <c r="G25" s="213"/>
      <c r="H25" s="213"/>
      <c r="I25" s="213"/>
      <c r="J25" s="213"/>
      <c r="K25" s="213"/>
      <c r="L25" s="207"/>
      <c r="M25" s="84"/>
    </row>
    <row r="26" spans="1:13" ht="12.75">
      <c r="A26" s="81">
        <f t="shared" si="1"/>
        <v>9</v>
      </c>
      <c r="B26" s="81">
        <f t="shared" si="4"/>
        <v>52376.07805867922</v>
      </c>
      <c r="C26" s="81">
        <f t="shared" si="0"/>
        <v>3404.445073814149</v>
      </c>
      <c r="D26" s="81">
        <f t="shared" si="2"/>
        <v>52376.07805867973</v>
      </c>
      <c r="E26" s="81">
        <f t="shared" si="3"/>
        <v>55780.52313249387</v>
      </c>
      <c r="F26" s="211"/>
      <c r="G26" s="214"/>
      <c r="H26" s="214"/>
      <c r="I26" s="214"/>
      <c r="J26" s="214"/>
      <c r="K26" s="214"/>
      <c r="L26" s="207"/>
      <c r="M26" s="84"/>
    </row>
    <row r="27" spans="1:13" ht="12.75">
      <c r="A27" s="87">
        <f t="shared" si="1"/>
        <v>10</v>
      </c>
      <c r="B27" s="87">
        <f t="shared" si="4"/>
        <v>-5.093170329928398E-10</v>
      </c>
      <c r="C27" s="87">
        <f t="shared" si="0"/>
        <v>-3.3105607144534587E-11</v>
      </c>
      <c r="D27" s="87">
        <f t="shared" si="2"/>
        <v>3.3105607144534587E-11</v>
      </c>
      <c r="E27" s="87">
        <f t="shared" si="3"/>
        <v>0</v>
      </c>
      <c r="F27" s="211"/>
      <c r="G27" s="214"/>
      <c r="H27" s="214"/>
      <c r="I27" s="214"/>
      <c r="J27" s="214"/>
      <c r="K27" s="214"/>
      <c r="L27" s="207"/>
      <c r="M27" s="84"/>
    </row>
    <row r="28" spans="1:12" ht="12.75">
      <c r="A28" s="144" t="s">
        <v>48</v>
      </c>
      <c r="B28" s="144"/>
      <c r="C28" s="145">
        <f>SUM(C20:C27)</f>
        <v>84534.27992745658</v>
      </c>
      <c r="D28" s="145">
        <f>SUM(D20:D27)</f>
        <v>305929.38200000057</v>
      </c>
      <c r="E28" s="145">
        <f>SUM(E20:E27)</f>
        <v>390463.66192745714</v>
      </c>
      <c r="F28" s="211"/>
      <c r="G28" s="214"/>
      <c r="H28" s="214"/>
      <c r="I28" s="214"/>
      <c r="J28" s="214"/>
      <c r="K28" s="214"/>
      <c r="L28" s="207"/>
    </row>
    <row r="29" spans="1:12" ht="12.75">
      <c r="A29" s="212"/>
      <c r="B29" s="212"/>
      <c r="C29" s="212"/>
      <c r="D29" s="212"/>
      <c r="E29" s="212"/>
      <c r="F29" s="211"/>
      <c r="G29" s="214"/>
      <c r="H29" s="214"/>
      <c r="I29" s="214"/>
      <c r="J29" s="214"/>
      <c r="K29" s="214"/>
      <c r="L29" s="207"/>
    </row>
    <row r="30" spans="1:12" ht="12.75">
      <c r="A30" s="212"/>
      <c r="B30" s="212"/>
      <c r="C30" s="212"/>
      <c r="D30" s="212"/>
      <c r="E30" s="212"/>
      <c r="F30" s="211"/>
      <c r="G30" s="214"/>
      <c r="H30" s="214"/>
      <c r="I30" s="214"/>
      <c r="J30" s="214"/>
      <c r="K30" s="214"/>
      <c r="L30" s="207"/>
    </row>
    <row r="31" spans="1:12" ht="12.75">
      <c r="A31" s="212"/>
      <c r="B31" s="212"/>
      <c r="C31" s="212"/>
      <c r="D31" s="212"/>
      <c r="E31" s="212"/>
      <c r="F31" s="211"/>
      <c r="G31" s="214"/>
      <c r="H31" s="214"/>
      <c r="I31" s="214"/>
      <c r="J31" s="214"/>
      <c r="K31" s="214"/>
      <c r="L31" s="207"/>
    </row>
  </sheetData>
  <sheetProtection/>
  <mergeCells count="23">
    <mergeCell ref="J3:J4"/>
    <mergeCell ref="G3:G4"/>
    <mergeCell ref="H4:I4"/>
    <mergeCell ref="A8:C8"/>
    <mergeCell ref="A5:C5"/>
    <mergeCell ref="A2:A4"/>
    <mergeCell ref="B2:C2"/>
    <mergeCell ref="G12:G14"/>
    <mergeCell ref="D2:D4"/>
    <mergeCell ref="G5:H5"/>
    <mergeCell ref="G7:H7"/>
    <mergeCell ref="A9:D10"/>
    <mergeCell ref="A13:D14"/>
    <mergeCell ref="N3:O7"/>
    <mergeCell ref="L17:L31"/>
    <mergeCell ref="K1:L14"/>
    <mergeCell ref="E1:J2"/>
    <mergeCell ref="E3:F14"/>
    <mergeCell ref="G9:J10"/>
    <mergeCell ref="F17:F31"/>
    <mergeCell ref="A29:E31"/>
    <mergeCell ref="G25:K31"/>
    <mergeCell ref="A6:C6"/>
  </mergeCells>
  <printOptions/>
  <pageMargins left="0.787401575" right="0.787401575" top="0.984251969" bottom="0.984251969" header="0.4921259845" footer="0.4921259845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33.00390625" style="94" bestFit="1" customWidth="1"/>
    <col min="2" max="2" width="18.28125" style="94" bestFit="1" customWidth="1"/>
    <col min="3" max="3" width="13.00390625" style="94" bestFit="1" customWidth="1"/>
    <col min="4" max="10" width="11.421875" style="94" customWidth="1"/>
    <col min="11" max="11" width="12.28125" style="94" bestFit="1" customWidth="1"/>
    <col min="12" max="16384" width="11.421875" style="94" customWidth="1"/>
  </cols>
  <sheetData>
    <row r="3" spans="1:9" ht="22.5" customHeight="1">
      <c r="A3" s="221" t="s">
        <v>119</v>
      </c>
      <c r="B3" s="221"/>
      <c r="C3" s="221"/>
      <c r="D3" s="221"/>
      <c r="E3" s="221"/>
      <c r="F3" s="221"/>
      <c r="G3" s="221"/>
      <c r="H3" s="221"/>
      <c r="I3" s="221"/>
    </row>
    <row r="4" spans="1:9" ht="12.75">
      <c r="A4" s="221"/>
      <c r="B4" s="221"/>
      <c r="C4" s="221"/>
      <c r="D4" s="221"/>
      <c r="E4" s="221"/>
      <c r="F4" s="221"/>
      <c r="G4" s="221"/>
      <c r="H4" s="221"/>
      <c r="I4" s="221"/>
    </row>
    <row r="6" spans="3:9" ht="12.75" hidden="1">
      <c r="C6" s="94">
        <v>-1</v>
      </c>
      <c r="D6" s="94">
        <v>-2</v>
      </c>
      <c r="E6" s="94">
        <v>-3</v>
      </c>
      <c r="F6" s="94">
        <v>-4</v>
      </c>
      <c r="G6" s="94">
        <v>-5</v>
      </c>
      <c r="H6" s="94">
        <v>-6</v>
      </c>
      <c r="I6" s="94">
        <v>-7</v>
      </c>
    </row>
    <row r="7" spans="2:9" ht="12.75">
      <c r="B7" s="95" t="s">
        <v>120</v>
      </c>
      <c r="C7" s="113" t="s">
        <v>4</v>
      </c>
      <c r="D7" s="113" t="s">
        <v>5</v>
      </c>
      <c r="E7" s="113" t="s">
        <v>6</v>
      </c>
      <c r="F7" s="113" t="s">
        <v>7</v>
      </c>
      <c r="G7" s="113" t="s">
        <v>8</v>
      </c>
      <c r="H7" s="110"/>
      <c r="I7" s="110"/>
    </row>
    <row r="8" spans="1:10" ht="13.5" customHeight="1">
      <c r="A8" s="96" t="s">
        <v>121</v>
      </c>
      <c r="B8" s="97"/>
      <c r="C8" s="98">
        <f>+'CPC '!C6</f>
        <v>601200</v>
      </c>
      <c r="D8" s="98">
        <f>+'CPC '!D6</f>
        <v>691380</v>
      </c>
      <c r="E8" s="98">
        <f>+'CPC '!E6</f>
        <v>751500</v>
      </c>
      <c r="F8" s="98">
        <f>+'CPC '!F6</f>
        <v>811620</v>
      </c>
      <c r="G8" s="98">
        <f>+'CPC '!G6</f>
        <v>901800</v>
      </c>
      <c r="H8" s="111"/>
      <c r="I8" s="111"/>
      <c r="J8" s="99"/>
    </row>
    <row r="9" spans="1:9" ht="15">
      <c r="A9" s="100" t="s">
        <v>122</v>
      </c>
      <c r="B9" s="114">
        <f>+BILAN!C24*-1</f>
        <v>-385929.382</v>
      </c>
      <c r="C9" s="98">
        <f>+'CPC '!C44</f>
        <v>175219.627319</v>
      </c>
      <c r="D9" s="98">
        <f>+'CPC '!D44</f>
        <v>223698.68171900001</v>
      </c>
      <c r="E9" s="98">
        <f>+'CPC '!E44</f>
        <v>235453.99360725426</v>
      </c>
      <c r="F9" s="98">
        <f>+'CPC '!F44</f>
        <v>255640.59360725424</v>
      </c>
      <c r="G9" s="98">
        <f>+'CPC '!G44</f>
        <v>318563.5936072542</v>
      </c>
      <c r="H9" s="111"/>
      <c r="I9" s="111"/>
    </row>
    <row r="10" spans="1:10" ht="13.5" customHeight="1">
      <c r="A10" s="96" t="s">
        <v>123</v>
      </c>
      <c r="B10" s="97"/>
      <c r="C10" s="101">
        <f>C9/C8</f>
        <v>0.291449812573187</v>
      </c>
      <c r="D10" s="101">
        <f>D9/D8</f>
        <v>0.3235538802380746</v>
      </c>
      <c r="E10" s="101">
        <f>E9/E8</f>
        <v>0.31331203407485597</v>
      </c>
      <c r="F10" s="101">
        <f>F9/F8</f>
        <v>0.31497571968070553</v>
      </c>
      <c r="G10" s="101">
        <f>G9/G8</f>
        <v>0.35325304236776917</v>
      </c>
      <c r="H10" s="112"/>
      <c r="I10" s="112"/>
      <c r="J10" s="99"/>
    </row>
    <row r="11" spans="1:2" ht="12.75">
      <c r="A11" s="100" t="s">
        <v>124</v>
      </c>
      <c r="B11" s="102">
        <v>0.12</v>
      </c>
    </row>
    <row r="12" spans="1:11" ht="12.75">
      <c r="A12" s="103"/>
      <c r="K12" s="115"/>
    </row>
    <row r="13" spans="1:4" ht="12.75">
      <c r="A13" s="104" t="s">
        <v>125</v>
      </c>
      <c r="B13" s="105">
        <f>NPV(B11,C9:I9)+B9</f>
        <v>459665.1923001199</v>
      </c>
      <c r="D13" s="116"/>
    </row>
    <row r="14" ht="12.75">
      <c r="A14" s="103"/>
    </row>
    <row r="15" spans="1:2" ht="12.75">
      <c r="A15" s="104" t="s">
        <v>126</v>
      </c>
      <c r="B15" s="106">
        <f>IRR(B9:I9,B11)</f>
        <v>0.48821454131100694</v>
      </c>
    </row>
    <row r="16" spans="1:2" ht="12.75">
      <c r="A16" s="107"/>
      <c r="B16" s="108"/>
    </row>
    <row r="17" spans="1:9" ht="12.75">
      <c r="A17" s="104" t="s">
        <v>127</v>
      </c>
      <c r="B17" s="109"/>
      <c r="C17" s="117">
        <f>C9*(1+$B$11)^C6</f>
        <v>156446.0958205357</v>
      </c>
      <c r="D17" s="117">
        <f>D9*(1+$B$11)^D6</f>
        <v>178331.21948262118</v>
      </c>
      <c r="E17" s="117">
        <f>E9*(1+$B$11)^E6</f>
        <v>167591.5019184287</v>
      </c>
      <c r="F17" s="117">
        <f>F9*(1+$B$11)^F6</f>
        <v>162464.2188115526</v>
      </c>
      <c r="G17" s="117">
        <f>G9*(1+$B$11)^G6</f>
        <v>180761.5382669819</v>
      </c>
      <c r="H17" s="110"/>
      <c r="I17" s="110"/>
    </row>
    <row r="18" spans="1:9" ht="12.75">
      <c r="A18" s="104" t="s">
        <v>128</v>
      </c>
      <c r="B18" s="109"/>
      <c r="C18" s="149">
        <f>+C17</f>
        <v>156446.0958205357</v>
      </c>
      <c r="D18" s="149">
        <f>+C18+D17</f>
        <v>334777.31530315685</v>
      </c>
      <c r="E18" s="149">
        <f>+D18+E17</f>
        <v>502368.81722158554</v>
      </c>
      <c r="F18" s="149">
        <f>+E18+F17</f>
        <v>664833.0360331382</v>
      </c>
      <c r="G18" s="149">
        <f>+F18+G17</f>
        <v>845594.5743001201</v>
      </c>
      <c r="H18" s="110"/>
      <c r="I18" s="110"/>
    </row>
  </sheetData>
  <sheetProtection/>
  <mergeCells count="1">
    <mergeCell ref="A3:I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2020-09-08T12:12:02Z</cp:lastPrinted>
  <dcterms:created xsi:type="dcterms:W3CDTF">1996-10-21T11:03:58Z</dcterms:created>
  <dcterms:modified xsi:type="dcterms:W3CDTF">2020-09-08T12:14:32Z</dcterms:modified>
  <cp:category/>
  <cp:version/>
  <cp:contentType/>
  <cp:contentStatus/>
</cp:coreProperties>
</file>